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รวมส่วนกลาง 59 (ใหม่)" sheetId="1" r:id="rId1"/>
    <sheet name="ข้อมูลนักศึกษา ปีการศึกษา 58" sheetId="2" r:id="rId2"/>
    <sheet name="บุคลากร ปี งปม.59" sheetId="5" r:id="rId3"/>
    <sheet name="รวม นศ.58+บุคลากร 59" sheetId="4" r:id="rId4"/>
  </sheets>
  <definedNames>
    <definedName name="_xlnm.Print_Titles" localSheetId="1">'ข้อมูลนักศึกษา ปีการศึกษา 58'!$4:$5</definedName>
    <definedName name="_xlnm.Print_Titles" localSheetId="2">'บุคลากร ปี งปม.59'!$3:$4</definedName>
    <definedName name="_xlnm.Print_Titles" localSheetId="3">'รวม นศ.58+บุคลากร 59'!$4:$5</definedName>
    <definedName name="_xlnm.Print_Titles" localSheetId="0">'รวมส่วนกลาง 59 (ใหม่)'!$1:$5</definedName>
  </definedNames>
  <calcPr calcId="144525"/>
</workbook>
</file>

<file path=xl/calcChain.xml><?xml version="1.0" encoding="utf-8"?>
<calcChain xmlns="http://schemas.openxmlformats.org/spreadsheetml/2006/main">
  <c r="D33" i="5" l="1"/>
  <c r="C32" i="5"/>
  <c r="B32" i="5"/>
  <c r="D31" i="5"/>
  <c r="D30" i="5"/>
  <c r="D29" i="5"/>
  <c r="D28" i="5"/>
  <c r="D32" i="5" s="1"/>
  <c r="D26" i="5"/>
  <c r="D25" i="5"/>
  <c r="D24" i="5"/>
  <c r="C23" i="5"/>
  <c r="B23" i="5"/>
  <c r="D22" i="5"/>
  <c r="D21" i="5"/>
  <c r="D20" i="5"/>
  <c r="D19" i="5"/>
  <c r="D23" i="5" s="1"/>
  <c r="D17" i="5"/>
  <c r="C16" i="5"/>
  <c r="B16" i="5"/>
  <c r="D15" i="5"/>
  <c r="D14" i="5"/>
  <c r="D13" i="5"/>
  <c r="D12" i="5"/>
  <c r="D16" i="5" s="1"/>
  <c r="C10" i="5"/>
  <c r="C34" i="5" s="1"/>
  <c r="D9" i="5"/>
  <c r="D8" i="5"/>
  <c r="B7" i="5"/>
  <c r="D7" i="5" s="1"/>
  <c r="D6" i="5"/>
  <c r="D10" i="5" s="1"/>
  <c r="D34" i="5" s="1"/>
  <c r="B10" i="5" l="1"/>
  <c r="B34" i="5" s="1"/>
  <c r="F34" i="4" l="1"/>
  <c r="D34" i="4"/>
  <c r="C33" i="4"/>
  <c r="B33" i="4"/>
  <c r="F32" i="4"/>
  <c r="D32" i="4"/>
  <c r="F31" i="4"/>
  <c r="D31" i="4"/>
  <c r="F30" i="4"/>
  <c r="D30" i="4"/>
  <c r="F29" i="4"/>
  <c r="D29" i="4"/>
  <c r="D33" i="4" s="1"/>
  <c r="F33" i="4" s="1"/>
  <c r="F28" i="4"/>
  <c r="D27" i="4"/>
  <c r="F27" i="4" s="1"/>
  <c r="D26" i="4"/>
  <c r="F26" i="4" s="1"/>
  <c r="D25" i="4"/>
  <c r="F25" i="4" s="1"/>
  <c r="C24" i="4"/>
  <c r="B24" i="4"/>
  <c r="D23" i="4"/>
  <c r="F23" i="4" s="1"/>
  <c r="D22" i="4"/>
  <c r="F22" i="4" s="1"/>
  <c r="D21" i="4"/>
  <c r="F21" i="4" s="1"/>
  <c r="D20" i="4"/>
  <c r="F20" i="4" s="1"/>
  <c r="F19" i="4"/>
  <c r="F18" i="4"/>
  <c r="D18" i="4"/>
  <c r="C17" i="4"/>
  <c r="C35" i="4" s="1"/>
  <c r="B17" i="4"/>
  <c r="F16" i="4"/>
  <c r="D16" i="4"/>
  <c r="F15" i="4"/>
  <c r="D15" i="4"/>
  <c r="F14" i="4"/>
  <c r="D14" i="4"/>
  <c r="F13" i="4"/>
  <c r="D13" i="4"/>
  <c r="D17" i="4" s="1"/>
  <c r="F17" i="4" s="1"/>
  <c r="F12" i="4"/>
  <c r="C11" i="4"/>
  <c r="B11" i="4"/>
  <c r="B35" i="4" s="1"/>
  <c r="D10" i="4"/>
  <c r="F10" i="4" s="1"/>
  <c r="D9" i="4"/>
  <c r="F9" i="4" s="1"/>
  <c r="D8" i="4"/>
  <c r="F8" i="4" s="1"/>
  <c r="D7" i="4"/>
  <c r="F7" i="4" s="1"/>
  <c r="D155" i="2"/>
  <c r="D156" i="2" s="1"/>
  <c r="C155" i="2"/>
  <c r="F154" i="2"/>
  <c r="E154" i="2"/>
  <c r="F153" i="2"/>
  <c r="E153" i="2"/>
  <c r="F151" i="2"/>
  <c r="F155" i="2" s="1"/>
  <c r="E151" i="2"/>
  <c r="E155" i="2" s="1"/>
  <c r="D148" i="2"/>
  <c r="C148" i="2"/>
  <c r="F147" i="2"/>
  <c r="E147" i="2"/>
  <c r="A147" i="2"/>
  <c r="E146" i="2"/>
  <c r="F146" i="2" s="1"/>
  <c r="F148" i="2" s="1"/>
  <c r="E144" i="2"/>
  <c r="F144" i="2" s="1"/>
  <c r="A144" i="2"/>
  <c r="F143" i="2"/>
  <c r="E143" i="2"/>
  <c r="E148" i="2" s="1"/>
  <c r="D140" i="2"/>
  <c r="C140" i="2"/>
  <c r="F139" i="2"/>
  <c r="E139" i="2"/>
  <c r="F138" i="2"/>
  <c r="E138" i="2"/>
  <c r="F137" i="2"/>
  <c r="E137" i="2"/>
  <c r="F136" i="2"/>
  <c r="E136" i="2"/>
  <c r="F134" i="2"/>
  <c r="E134" i="2"/>
  <c r="E133" i="2"/>
  <c r="F133" i="2" s="1"/>
  <c r="F132" i="2"/>
  <c r="E132" i="2"/>
  <c r="E131" i="2"/>
  <c r="F131" i="2" s="1"/>
  <c r="F130" i="2"/>
  <c r="E130" i="2"/>
  <c r="E129" i="2"/>
  <c r="F129" i="2" s="1"/>
  <c r="F128" i="2"/>
  <c r="E128" i="2"/>
  <c r="E127" i="2"/>
  <c r="F127" i="2" s="1"/>
  <c r="F126" i="2"/>
  <c r="E126" i="2"/>
  <c r="E125" i="2"/>
  <c r="F125" i="2" s="1"/>
  <c r="F124" i="2"/>
  <c r="E124" i="2"/>
  <c r="E123" i="2"/>
  <c r="F123" i="2" s="1"/>
  <c r="F122" i="2"/>
  <c r="E122" i="2"/>
  <c r="A122" i="2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E121" i="2"/>
  <c r="E119" i="2"/>
  <c r="D119" i="2"/>
  <c r="C119" i="2"/>
  <c r="E118" i="2"/>
  <c r="F118" i="2" s="1"/>
  <c r="F117" i="2"/>
  <c r="E117" i="2"/>
  <c r="A117" i="2"/>
  <c r="A118" i="2" s="1"/>
  <c r="E116" i="2"/>
  <c r="F116" i="2" s="1"/>
  <c r="D114" i="2"/>
  <c r="C114" i="2"/>
  <c r="F113" i="2"/>
  <c r="E113" i="2"/>
  <c r="E112" i="2"/>
  <c r="F112" i="2" s="1"/>
  <c r="F111" i="2"/>
  <c r="E111" i="2"/>
  <c r="E110" i="2"/>
  <c r="F110" i="2" s="1"/>
  <c r="F109" i="2"/>
  <c r="E109" i="2"/>
  <c r="E108" i="2"/>
  <c r="F108" i="2" s="1"/>
  <c r="F107" i="2"/>
  <c r="E107" i="2"/>
  <c r="A107" i="2"/>
  <c r="A108" i="2" s="1"/>
  <c r="A109" i="2" s="1"/>
  <c r="A110" i="2" s="1"/>
  <c r="A111" i="2" s="1"/>
  <c r="A112" i="2" s="1"/>
  <c r="A113" i="2" s="1"/>
  <c r="E106" i="2"/>
  <c r="F106" i="2" s="1"/>
  <c r="A106" i="2"/>
  <c r="F105" i="2"/>
  <c r="E105" i="2"/>
  <c r="F102" i="2"/>
  <c r="E102" i="2"/>
  <c r="F100" i="2"/>
  <c r="E100" i="2"/>
  <c r="E99" i="2"/>
  <c r="F99" i="2" s="1"/>
  <c r="F98" i="2"/>
  <c r="E98" i="2"/>
  <c r="E97" i="2"/>
  <c r="F97" i="2" s="1"/>
  <c r="F96" i="2"/>
  <c r="E96" i="2"/>
  <c r="A96" i="2"/>
  <c r="A97" i="2" s="1"/>
  <c r="A98" i="2" s="1"/>
  <c r="A99" i="2" s="1"/>
  <c r="A100" i="2" s="1"/>
  <c r="E95" i="2"/>
  <c r="F95" i="2" s="1"/>
  <c r="A95" i="2"/>
  <c r="F94" i="2"/>
  <c r="E94" i="2"/>
  <c r="F92" i="2"/>
  <c r="E92" i="2"/>
  <c r="A92" i="2"/>
  <c r="E91" i="2"/>
  <c r="F91" i="2" s="1"/>
  <c r="G113" i="2" s="1"/>
  <c r="F88" i="2"/>
  <c r="E88" i="2"/>
  <c r="F86" i="2"/>
  <c r="E86" i="2"/>
  <c r="F85" i="2"/>
  <c r="E85" i="2"/>
  <c r="F84" i="2"/>
  <c r="E84" i="2"/>
  <c r="F82" i="2"/>
  <c r="E82" i="2"/>
  <c r="A82" i="2"/>
  <c r="E81" i="2"/>
  <c r="F81" i="2" s="1"/>
  <c r="A81" i="2"/>
  <c r="F80" i="2"/>
  <c r="E80" i="2"/>
  <c r="F78" i="2"/>
  <c r="E78" i="2"/>
  <c r="E77" i="2"/>
  <c r="F77" i="2" s="1"/>
  <c r="F76" i="2"/>
  <c r="E76" i="2"/>
  <c r="E75" i="2"/>
  <c r="F75" i="2" s="1"/>
  <c r="F74" i="2"/>
  <c r="E74" i="2"/>
  <c r="E73" i="2"/>
  <c r="F73" i="2" s="1"/>
  <c r="F72" i="2"/>
  <c r="E72" i="2"/>
  <c r="A72" i="2"/>
  <c r="A73" i="2" s="1"/>
  <c r="A74" i="2" s="1"/>
  <c r="A75" i="2" s="1"/>
  <c r="A76" i="2" s="1"/>
  <c r="A77" i="2" s="1"/>
  <c r="A78" i="2" s="1"/>
  <c r="E71" i="2"/>
  <c r="F71" i="2" s="1"/>
  <c r="F68" i="2"/>
  <c r="E68" i="2"/>
  <c r="F66" i="2"/>
  <c r="E66" i="2"/>
  <c r="E65" i="2"/>
  <c r="F65" i="2" s="1"/>
  <c r="F64" i="2"/>
  <c r="E64" i="2"/>
  <c r="A64" i="2"/>
  <c r="A65" i="2" s="1"/>
  <c r="A66" i="2" s="1"/>
  <c r="E63" i="2"/>
  <c r="F63" i="2" s="1"/>
  <c r="A63" i="2"/>
  <c r="F62" i="2"/>
  <c r="E62" i="2"/>
  <c r="F60" i="2"/>
  <c r="E60" i="2"/>
  <c r="E59" i="2"/>
  <c r="F59" i="2" s="1"/>
  <c r="F58" i="2"/>
  <c r="E58" i="2"/>
  <c r="E57" i="2"/>
  <c r="F57" i="2" s="1"/>
  <c r="F56" i="2"/>
  <c r="E56" i="2"/>
  <c r="A56" i="2"/>
  <c r="A57" i="2" s="1"/>
  <c r="A58" i="2" s="1"/>
  <c r="A59" i="2" s="1"/>
  <c r="A60" i="2" s="1"/>
  <c r="E55" i="2"/>
  <c r="F55" i="2" s="1"/>
  <c r="D51" i="2"/>
  <c r="C51" i="2"/>
  <c r="E50" i="2"/>
  <c r="F50" i="2" s="1"/>
  <c r="A50" i="2"/>
  <c r="F49" i="2"/>
  <c r="F51" i="2" s="1"/>
  <c r="E49" i="2"/>
  <c r="D47" i="2"/>
  <c r="C47" i="2"/>
  <c r="F46" i="2"/>
  <c r="E46" i="2"/>
  <c r="E45" i="2"/>
  <c r="F45" i="2" s="1"/>
  <c r="F44" i="2"/>
  <c r="E44" i="2"/>
  <c r="E43" i="2"/>
  <c r="F43" i="2" s="1"/>
  <c r="F42" i="2"/>
  <c r="E42" i="2"/>
  <c r="E41" i="2"/>
  <c r="F41" i="2" s="1"/>
  <c r="F40" i="2"/>
  <c r="E40" i="2"/>
  <c r="E39" i="2"/>
  <c r="F39" i="2" s="1"/>
  <c r="F38" i="2"/>
  <c r="E38" i="2"/>
  <c r="A38" i="2"/>
  <c r="A39" i="2" s="1"/>
  <c r="A40" i="2" s="1"/>
  <c r="A41" i="2" s="1"/>
  <c r="A42" i="2" s="1"/>
  <c r="A43" i="2" s="1"/>
  <c r="A44" i="2" s="1"/>
  <c r="A45" i="2" s="1"/>
  <c r="A46" i="2" s="1"/>
  <c r="E37" i="2"/>
  <c r="F37" i="2" s="1"/>
  <c r="A37" i="2"/>
  <c r="F36" i="2"/>
  <c r="F47" i="2" s="1"/>
  <c r="E36" i="2"/>
  <c r="D34" i="2"/>
  <c r="C34" i="2"/>
  <c r="F33" i="2"/>
  <c r="E33" i="2"/>
  <c r="E32" i="2"/>
  <c r="F32" i="2" s="1"/>
  <c r="F31" i="2"/>
  <c r="E31" i="2"/>
  <c r="E30" i="2"/>
  <c r="F30" i="2" s="1"/>
  <c r="F29" i="2"/>
  <c r="E29" i="2"/>
  <c r="E28" i="2"/>
  <c r="F28" i="2" s="1"/>
  <c r="F27" i="2"/>
  <c r="E27" i="2"/>
  <c r="A27" i="2"/>
  <c r="A28" i="2" s="1"/>
  <c r="A29" i="2" s="1"/>
  <c r="A30" i="2" s="1"/>
  <c r="A31" i="2" s="1"/>
  <c r="A32" i="2" s="1"/>
  <c r="A33" i="2" s="1"/>
  <c r="E26" i="2"/>
  <c r="D26" i="2"/>
  <c r="D24" i="2"/>
  <c r="C24" i="2"/>
  <c r="F23" i="2"/>
  <c r="E23" i="2"/>
  <c r="E21" i="2"/>
  <c r="F21" i="2" s="1"/>
  <c r="E20" i="2"/>
  <c r="F20" i="2" s="1"/>
  <c r="E18" i="2"/>
  <c r="F18" i="2" s="1"/>
  <c r="F17" i="2"/>
  <c r="E17" i="2"/>
  <c r="E16" i="2"/>
  <c r="F16" i="2" s="1"/>
  <c r="F15" i="2"/>
  <c r="E15" i="2"/>
  <c r="E14" i="2"/>
  <c r="F14" i="2" s="1"/>
  <c r="F13" i="2"/>
  <c r="E13" i="2"/>
  <c r="E12" i="2"/>
  <c r="F12" i="2" s="1"/>
  <c r="F11" i="2"/>
  <c r="E11" i="2"/>
  <c r="E10" i="2"/>
  <c r="F10" i="2" s="1"/>
  <c r="F9" i="2"/>
  <c r="E9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E8" i="2"/>
  <c r="D50" i="1"/>
  <c r="D51" i="1"/>
  <c r="D57" i="1"/>
  <c r="E57" i="1"/>
  <c r="F46" i="1"/>
  <c r="Y46" i="1" s="1"/>
  <c r="D45" i="1"/>
  <c r="F45" i="1" s="1"/>
  <c r="AA45" i="1" s="1"/>
  <c r="F44" i="1"/>
  <c r="AB44" i="1" s="1"/>
  <c r="F43" i="1"/>
  <c r="AB43" i="1" s="1"/>
  <c r="F42" i="1"/>
  <c r="AB42" i="1" s="1"/>
  <c r="F41" i="1"/>
  <c r="AB41" i="1" s="1"/>
  <c r="D40" i="1"/>
  <c r="F40" i="1" s="1"/>
  <c r="F39" i="1"/>
  <c r="R39" i="1" s="1"/>
  <c r="D38" i="1"/>
  <c r="F38" i="1" s="1"/>
  <c r="D37" i="1"/>
  <c r="F37" i="1" s="1"/>
  <c r="Q37" i="1" s="1"/>
  <c r="E36" i="1"/>
  <c r="D36" i="1"/>
  <c r="F35" i="1"/>
  <c r="R35" i="1" s="1"/>
  <c r="D34" i="1"/>
  <c r="F34" i="1" s="1"/>
  <c r="D33" i="1"/>
  <c r="F33" i="1" s="1"/>
  <c r="E32" i="1"/>
  <c r="D32" i="1"/>
  <c r="F32" i="1" s="1"/>
  <c r="F31" i="1"/>
  <c r="D30" i="1"/>
  <c r="F30" i="1" s="1"/>
  <c r="D29" i="1"/>
  <c r="F29" i="1" s="1"/>
  <c r="F28" i="1"/>
  <c r="D27" i="1"/>
  <c r="F27" i="1" s="1"/>
  <c r="E26" i="1"/>
  <c r="D26" i="1"/>
  <c r="E25" i="1"/>
  <c r="D25" i="1"/>
  <c r="F24" i="1"/>
  <c r="AB24" i="1" s="1"/>
  <c r="E23" i="1"/>
  <c r="D23" i="1"/>
  <c r="F23" i="1" s="1"/>
  <c r="D22" i="1"/>
  <c r="F22" i="1" s="1"/>
  <c r="AE22" i="1" s="1"/>
  <c r="D21" i="1"/>
  <c r="F21" i="1" s="1"/>
  <c r="E20" i="1"/>
  <c r="D20" i="1"/>
  <c r="F20" i="1" s="1"/>
  <c r="E19" i="1"/>
  <c r="D19" i="1"/>
  <c r="F19" i="1" s="1"/>
  <c r="D18" i="1"/>
  <c r="F18" i="1" s="1"/>
  <c r="AE18" i="1" s="1"/>
  <c r="F17" i="1"/>
  <c r="X17" i="1" s="1"/>
  <c r="D16" i="1"/>
  <c r="F16" i="1" s="1"/>
  <c r="E15" i="1"/>
  <c r="D15" i="1"/>
  <c r="F15" i="1" s="1"/>
  <c r="F14" i="1"/>
  <c r="AB14" i="1" s="1"/>
  <c r="D13" i="1"/>
  <c r="F13" i="1" s="1"/>
  <c r="D12" i="1"/>
  <c r="F12" i="1" s="1"/>
  <c r="E11" i="1"/>
  <c r="F11" i="1" s="1"/>
  <c r="F10" i="1"/>
  <c r="AB10" i="1" s="1"/>
  <c r="D9" i="1"/>
  <c r="F9" i="1" s="1"/>
  <c r="E8" i="1"/>
  <c r="D8" i="1"/>
  <c r="F8" i="1" s="1"/>
  <c r="E7" i="1"/>
  <c r="D7" i="1"/>
  <c r="F7" i="1" s="1"/>
  <c r="E6" i="1"/>
  <c r="D6" i="1"/>
  <c r="E24" i="2" l="1"/>
  <c r="F8" i="2"/>
  <c r="E34" i="2"/>
  <c r="F26" i="2"/>
  <c r="F34" i="2" s="1"/>
  <c r="F114" i="2"/>
  <c r="G68" i="2"/>
  <c r="E114" i="2"/>
  <c r="E156" i="2" s="1"/>
  <c r="E47" i="2"/>
  <c r="E51" i="2"/>
  <c r="G88" i="2"/>
  <c r="F119" i="2"/>
  <c r="E140" i="2"/>
  <c r="F121" i="2"/>
  <c r="F140" i="2" s="1"/>
  <c r="C156" i="2"/>
  <c r="D11" i="4"/>
  <c r="D24" i="4"/>
  <c r="F24" i="4" s="1"/>
  <c r="G14" i="1"/>
  <c r="G10" i="1"/>
  <c r="Q10" i="1"/>
  <c r="Y10" i="1"/>
  <c r="M14" i="1"/>
  <c r="U14" i="1"/>
  <c r="AC14" i="1"/>
  <c r="T17" i="1"/>
  <c r="S18" i="1"/>
  <c r="G22" i="1"/>
  <c r="AA22" i="1"/>
  <c r="Z35" i="1"/>
  <c r="I37" i="1"/>
  <c r="Z39" i="1"/>
  <c r="G42" i="1"/>
  <c r="Q42" i="1"/>
  <c r="Y42" i="1"/>
  <c r="G46" i="1"/>
  <c r="X46" i="1"/>
  <c r="M10" i="1"/>
  <c r="U10" i="1"/>
  <c r="AC10" i="1"/>
  <c r="Q14" i="1"/>
  <c r="Y14" i="1"/>
  <c r="H17" i="1"/>
  <c r="AB17" i="1"/>
  <c r="G18" i="1"/>
  <c r="AA18" i="1"/>
  <c r="S22" i="1"/>
  <c r="J35" i="1"/>
  <c r="Y37" i="1"/>
  <c r="J39" i="1"/>
  <c r="M42" i="1"/>
  <c r="U42" i="1"/>
  <c r="AC42" i="1"/>
  <c r="L46" i="1"/>
  <c r="AE46" i="1"/>
  <c r="X16" i="1"/>
  <c r="L16" i="1"/>
  <c r="AB16" i="1"/>
  <c r="T16" i="1"/>
  <c r="D48" i="1"/>
  <c r="D58" i="1" s="1"/>
  <c r="H16" i="1"/>
  <c r="X21" i="1"/>
  <c r="L21" i="1"/>
  <c r="AB21" i="1"/>
  <c r="T21" i="1"/>
  <c r="H21" i="1"/>
  <c r="I24" i="1"/>
  <c r="O24" i="1"/>
  <c r="S24" i="1"/>
  <c r="W24" i="1"/>
  <c r="AA24" i="1"/>
  <c r="AE24" i="1"/>
  <c r="I41" i="1"/>
  <c r="O41" i="1"/>
  <c r="S41" i="1"/>
  <c r="W41" i="1"/>
  <c r="AA41" i="1"/>
  <c r="AE41" i="1"/>
  <c r="L43" i="1"/>
  <c r="X43" i="1"/>
  <c r="L44" i="1"/>
  <c r="X44" i="1"/>
  <c r="O45" i="1"/>
  <c r="W45" i="1"/>
  <c r="AE45" i="1"/>
  <c r="I10" i="1"/>
  <c r="O10" i="1"/>
  <c r="S10" i="1"/>
  <c r="W10" i="1"/>
  <c r="AA10" i="1"/>
  <c r="AE10" i="1"/>
  <c r="I14" i="1"/>
  <c r="O14" i="1"/>
  <c r="S14" i="1"/>
  <c r="W14" i="1"/>
  <c r="AA14" i="1"/>
  <c r="AE14" i="1"/>
  <c r="L17" i="1"/>
  <c r="O18" i="1"/>
  <c r="W18" i="1"/>
  <c r="O22" i="1"/>
  <c r="W22" i="1"/>
  <c r="G24" i="1"/>
  <c r="M24" i="1"/>
  <c r="Q24" i="1"/>
  <c r="U24" i="1"/>
  <c r="Y24" i="1"/>
  <c r="AC24" i="1"/>
  <c r="F36" i="1"/>
  <c r="Z36" i="1" s="1"/>
  <c r="AD36" i="1" s="1"/>
  <c r="G41" i="1"/>
  <c r="M41" i="1"/>
  <c r="Q41" i="1"/>
  <c r="U41" i="1"/>
  <c r="Y41" i="1"/>
  <c r="AC41" i="1"/>
  <c r="I42" i="1"/>
  <c r="O42" i="1"/>
  <c r="S42" i="1"/>
  <c r="W42" i="1"/>
  <c r="AA42" i="1"/>
  <c r="AE42" i="1"/>
  <c r="H43" i="1"/>
  <c r="T43" i="1"/>
  <c r="H44" i="1"/>
  <c r="T44" i="1"/>
  <c r="G45" i="1"/>
  <c r="S45" i="1"/>
  <c r="J46" i="1"/>
  <c r="S46" i="1"/>
  <c r="Z46" i="1"/>
  <c r="AD46" i="1" s="1"/>
  <c r="AE7" i="1"/>
  <c r="AC7" i="1"/>
  <c r="AA7" i="1"/>
  <c r="Y7" i="1"/>
  <c r="W7" i="1"/>
  <c r="U7" i="1"/>
  <c r="S7" i="1"/>
  <c r="Q7" i="1"/>
  <c r="O7" i="1"/>
  <c r="M7" i="1"/>
  <c r="I7" i="1"/>
  <c r="G7" i="1"/>
  <c r="AB7" i="1"/>
  <c r="Z7" i="1"/>
  <c r="X7" i="1"/>
  <c r="T7" i="1"/>
  <c r="R7" i="1"/>
  <c r="N7" i="1"/>
  <c r="L7" i="1"/>
  <c r="J7" i="1"/>
  <c r="H7" i="1"/>
  <c r="AE8" i="1"/>
  <c r="AC8" i="1"/>
  <c r="AA8" i="1"/>
  <c r="Y8" i="1"/>
  <c r="W8" i="1"/>
  <c r="U8" i="1"/>
  <c r="S8" i="1"/>
  <c r="Q8" i="1"/>
  <c r="O8" i="1"/>
  <c r="M8" i="1"/>
  <c r="I8" i="1"/>
  <c r="G8" i="1"/>
  <c r="AB8" i="1"/>
  <c r="Z8" i="1"/>
  <c r="X8" i="1"/>
  <c r="T8" i="1"/>
  <c r="R8" i="1"/>
  <c r="V8" i="1" s="1"/>
  <c r="N8" i="1"/>
  <c r="L8" i="1"/>
  <c r="P8" i="1" s="1"/>
  <c r="J8" i="1"/>
  <c r="H8" i="1"/>
  <c r="AB9" i="1"/>
  <c r="Z9" i="1"/>
  <c r="X9" i="1"/>
  <c r="T9" i="1"/>
  <c r="R9" i="1"/>
  <c r="N9" i="1"/>
  <c r="L9" i="1"/>
  <c r="J9" i="1"/>
  <c r="H9" i="1"/>
  <c r="AE9" i="1"/>
  <c r="AC9" i="1"/>
  <c r="AA9" i="1"/>
  <c r="Y9" i="1"/>
  <c r="W9" i="1"/>
  <c r="U9" i="1"/>
  <c r="S9" i="1"/>
  <c r="Q9" i="1"/>
  <c r="O9" i="1"/>
  <c r="M9" i="1"/>
  <c r="I9" i="1"/>
  <c r="G9" i="1"/>
  <c r="AB12" i="1"/>
  <c r="Z12" i="1"/>
  <c r="X12" i="1"/>
  <c r="T12" i="1"/>
  <c r="R12" i="1"/>
  <c r="N12" i="1"/>
  <c r="L12" i="1"/>
  <c r="J12" i="1"/>
  <c r="H12" i="1"/>
  <c r="AE12" i="1"/>
  <c r="AC12" i="1"/>
  <c r="AA12" i="1"/>
  <c r="Y12" i="1"/>
  <c r="W12" i="1"/>
  <c r="U12" i="1"/>
  <c r="S12" i="1"/>
  <c r="Q12" i="1"/>
  <c r="O12" i="1"/>
  <c r="M12" i="1"/>
  <c r="I12" i="1"/>
  <c r="G12" i="1"/>
  <c r="AE32" i="1"/>
  <c r="AC32" i="1"/>
  <c r="AA32" i="1"/>
  <c r="Y32" i="1"/>
  <c r="W32" i="1"/>
  <c r="U32" i="1"/>
  <c r="S32" i="1"/>
  <c r="Q32" i="1"/>
  <c r="O32" i="1"/>
  <c r="M32" i="1"/>
  <c r="I32" i="1"/>
  <c r="G32" i="1"/>
  <c r="AB32" i="1"/>
  <c r="X32" i="1"/>
  <c r="T32" i="1"/>
  <c r="L32" i="1"/>
  <c r="H32" i="1"/>
  <c r="Z32" i="1"/>
  <c r="R32" i="1"/>
  <c r="N32" i="1"/>
  <c r="J32" i="1"/>
  <c r="AE36" i="1"/>
  <c r="X36" i="1"/>
  <c r="L36" i="1"/>
  <c r="G36" i="1"/>
  <c r="T36" i="1"/>
  <c r="H36" i="1"/>
  <c r="Q36" i="1"/>
  <c r="F6" i="1"/>
  <c r="H11" i="1"/>
  <c r="J11" i="1"/>
  <c r="L11" i="1"/>
  <c r="N11" i="1"/>
  <c r="R11" i="1"/>
  <c r="T11" i="1"/>
  <c r="X11" i="1"/>
  <c r="Z11" i="1"/>
  <c r="AB11" i="1"/>
  <c r="AB13" i="1"/>
  <c r="Z13" i="1"/>
  <c r="X13" i="1"/>
  <c r="T13" i="1"/>
  <c r="R13" i="1"/>
  <c r="N13" i="1"/>
  <c r="L13" i="1"/>
  <c r="J13" i="1"/>
  <c r="H13" i="1"/>
  <c r="I13" i="1"/>
  <c r="M13" i="1"/>
  <c r="Q13" i="1"/>
  <c r="U13" i="1"/>
  <c r="Y13" i="1"/>
  <c r="AC13" i="1"/>
  <c r="AB15" i="1"/>
  <c r="Z15" i="1"/>
  <c r="X15" i="1"/>
  <c r="T15" i="1"/>
  <c r="R15" i="1"/>
  <c r="N15" i="1"/>
  <c r="L15" i="1"/>
  <c r="J15" i="1"/>
  <c r="H15" i="1"/>
  <c r="G15" i="1"/>
  <c r="O15" i="1"/>
  <c r="S15" i="1"/>
  <c r="W15" i="1"/>
  <c r="AA15" i="1"/>
  <c r="AE15" i="1"/>
  <c r="AB19" i="1"/>
  <c r="Z19" i="1"/>
  <c r="X19" i="1"/>
  <c r="T19" i="1"/>
  <c r="R19" i="1"/>
  <c r="N19" i="1"/>
  <c r="L19" i="1"/>
  <c r="J19" i="1"/>
  <c r="H19" i="1"/>
  <c r="G19" i="1"/>
  <c r="O19" i="1"/>
  <c r="S19" i="1"/>
  <c r="W19" i="1"/>
  <c r="AA19" i="1"/>
  <c r="AE19" i="1"/>
  <c r="AB20" i="1"/>
  <c r="Z20" i="1"/>
  <c r="X20" i="1"/>
  <c r="T20" i="1"/>
  <c r="R20" i="1"/>
  <c r="N20" i="1"/>
  <c r="L20" i="1"/>
  <c r="J20" i="1"/>
  <c r="H20" i="1"/>
  <c r="G20" i="1"/>
  <c r="O20" i="1"/>
  <c r="S20" i="1"/>
  <c r="W20" i="1"/>
  <c r="AA20" i="1"/>
  <c r="AE20" i="1"/>
  <c r="AB23" i="1"/>
  <c r="Z23" i="1"/>
  <c r="X23" i="1"/>
  <c r="T23" i="1"/>
  <c r="R23" i="1"/>
  <c r="N23" i="1"/>
  <c r="L23" i="1"/>
  <c r="J23" i="1"/>
  <c r="H23" i="1"/>
  <c r="G23" i="1"/>
  <c r="O23" i="1"/>
  <c r="S23" i="1"/>
  <c r="W23" i="1"/>
  <c r="AA23" i="1"/>
  <c r="AE23" i="1"/>
  <c r="AE27" i="1"/>
  <c r="AC27" i="1"/>
  <c r="AA27" i="1"/>
  <c r="Y27" i="1"/>
  <c r="W27" i="1"/>
  <c r="U27" i="1"/>
  <c r="S27" i="1"/>
  <c r="Q27" i="1"/>
  <c r="O27" i="1"/>
  <c r="M27" i="1"/>
  <c r="I27" i="1"/>
  <c r="G27" i="1"/>
  <c r="J27" i="1"/>
  <c r="N27" i="1"/>
  <c r="R27" i="1"/>
  <c r="Z27" i="1"/>
  <c r="AE28" i="1"/>
  <c r="AC28" i="1"/>
  <c r="AA28" i="1"/>
  <c r="Y28" i="1"/>
  <c r="W28" i="1"/>
  <c r="U28" i="1"/>
  <c r="S28" i="1"/>
  <c r="Q28" i="1"/>
  <c r="O28" i="1"/>
  <c r="M28" i="1"/>
  <c r="I28" i="1"/>
  <c r="G28" i="1"/>
  <c r="J28" i="1"/>
  <c r="N28" i="1"/>
  <c r="R28" i="1"/>
  <c r="Z28" i="1"/>
  <c r="AB29" i="1"/>
  <c r="Z29" i="1"/>
  <c r="X29" i="1"/>
  <c r="T29" i="1"/>
  <c r="R29" i="1"/>
  <c r="N29" i="1"/>
  <c r="L29" i="1"/>
  <c r="J29" i="1"/>
  <c r="H29" i="1"/>
  <c r="I29" i="1"/>
  <c r="M29" i="1"/>
  <c r="Q29" i="1"/>
  <c r="U29" i="1"/>
  <c r="Y29" i="1"/>
  <c r="AC29" i="1"/>
  <c r="AE30" i="1"/>
  <c r="AC30" i="1"/>
  <c r="AA30" i="1"/>
  <c r="Y30" i="1"/>
  <c r="W30" i="1"/>
  <c r="U30" i="1"/>
  <c r="S30" i="1"/>
  <c r="Q30" i="1"/>
  <c r="O30" i="1"/>
  <c r="M30" i="1"/>
  <c r="I30" i="1"/>
  <c r="G30" i="1"/>
  <c r="J30" i="1"/>
  <c r="N30" i="1"/>
  <c r="R30" i="1"/>
  <c r="Z30" i="1"/>
  <c r="AE31" i="1"/>
  <c r="AC31" i="1"/>
  <c r="AA31" i="1"/>
  <c r="Y31" i="1"/>
  <c r="W31" i="1"/>
  <c r="U31" i="1"/>
  <c r="S31" i="1"/>
  <c r="Q31" i="1"/>
  <c r="O31" i="1"/>
  <c r="M31" i="1"/>
  <c r="I31" i="1"/>
  <c r="G31" i="1"/>
  <c r="J31" i="1"/>
  <c r="N31" i="1"/>
  <c r="R31" i="1"/>
  <c r="Z31" i="1"/>
  <c r="AB33" i="1"/>
  <c r="Z33" i="1"/>
  <c r="X33" i="1"/>
  <c r="T33" i="1"/>
  <c r="R33" i="1"/>
  <c r="N33" i="1"/>
  <c r="L33" i="1"/>
  <c r="J33" i="1"/>
  <c r="AE33" i="1"/>
  <c r="AA33" i="1"/>
  <c r="W33" i="1"/>
  <c r="S33" i="1"/>
  <c r="O33" i="1"/>
  <c r="H33" i="1"/>
  <c r="I33" i="1"/>
  <c r="Q33" i="1"/>
  <c r="Y33" i="1"/>
  <c r="AE34" i="1"/>
  <c r="AC34" i="1"/>
  <c r="AA34" i="1"/>
  <c r="Y34" i="1"/>
  <c r="W34" i="1"/>
  <c r="U34" i="1"/>
  <c r="S34" i="1"/>
  <c r="Q34" i="1"/>
  <c r="O34" i="1"/>
  <c r="M34" i="1"/>
  <c r="I34" i="1"/>
  <c r="G34" i="1"/>
  <c r="AB34" i="1"/>
  <c r="X34" i="1"/>
  <c r="T34" i="1"/>
  <c r="L34" i="1"/>
  <c r="H34" i="1"/>
  <c r="N34" i="1"/>
  <c r="AE38" i="1"/>
  <c r="AC38" i="1"/>
  <c r="AA38" i="1"/>
  <c r="Y38" i="1"/>
  <c r="W38" i="1"/>
  <c r="U38" i="1"/>
  <c r="S38" i="1"/>
  <c r="Q38" i="1"/>
  <c r="O38" i="1"/>
  <c r="M38" i="1"/>
  <c r="I38" i="1"/>
  <c r="G38" i="1"/>
  <c r="AB38" i="1"/>
  <c r="X38" i="1"/>
  <c r="T38" i="1"/>
  <c r="L38" i="1"/>
  <c r="H38" i="1"/>
  <c r="N38" i="1"/>
  <c r="AB40" i="1"/>
  <c r="Z40" i="1"/>
  <c r="X40" i="1"/>
  <c r="T40" i="1"/>
  <c r="R40" i="1"/>
  <c r="N40" i="1"/>
  <c r="L40" i="1"/>
  <c r="J40" i="1"/>
  <c r="H40" i="1"/>
  <c r="AE40" i="1"/>
  <c r="AA40" i="1"/>
  <c r="W40" i="1"/>
  <c r="S40" i="1"/>
  <c r="O40" i="1"/>
  <c r="G40" i="1"/>
  <c r="M40" i="1"/>
  <c r="U40" i="1"/>
  <c r="AC40" i="1"/>
  <c r="E48" i="1"/>
  <c r="E58" i="1" s="1"/>
  <c r="H10" i="1"/>
  <c r="J10" i="1"/>
  <c r="L10" i="1"/>
  <c r="N10" i="1"/>
  <c r="R10" i="1"/>
  <c r="T10" i="1"/>
  <c r="X10" i="1"/>
  <c r="Z10" i="1"/>
  <c r="AD10" i="1" s="1"/>
  <c r="G11" i="1"/>
  <c r="I11" i="1"/>
  <c r="M11" i="1"/>
  <c r="O11" i="1"/>
  <c r="Q11" i="1"/>
  <c r="S11" i="1"/>
  <c r="U11" i="1"/>
  <c r="W11" i="1"/>
  <c r="Y11" i="1"/>
  <c r="AA11" i="1"/>
  <c r="AC11" i="1"/>
  <c r="AE11" i="1"/>
  <c r="G13" i="1"/>
  <c r="K13" i="1" s="1"/>
  <c r="O13" i="1"/>
  <c r="S13" i="1"/>
  <c r="W13" i="1"/>
  <c r="AA13" i="1"/>
  <c r="AE13" i="1"/>
  <c r="I15" i="1"/>
  <c r="M15" i="1"/>
  <c r="Q15" i="1"/>
  <c r="U15" i="1"/>
  <c r="Y15" i="1"/>
  <c r="AC15" i="1"/>
  <c r="AE16" i="1"/>
  <c r="AC16" i="1"/>
  <c r="AA16" i="1"/>
  <c r="Y16" i="1"/>
  <c r="W16" i="1"/>
  <c r="U16" i="1"/>
  <c r="S16" i="1"/>
  <c r="Q16" i="1"/>
  <c r="O16" i="1"/>
  <c r="M16" i="1"/>
  <c r="I16" i="1"/>
  <c r="G16" i="1"/>
  <c r="J16" i="1"/>
  <c r="N16" i="1"/>
  <c r="R16" i="1"/>
  <c r="V16" i="1" s="1"/>
  <c r="Z16" i="1"/>
  <c r="AE17" i="1"/>
  <c r="AC17" i="1"/>
  <c r="AA17" i="1"/>
  <c r="Y17" i="1"/>
  <c r="W17" i="1"/>
  <c r="U17" i="1"/>
  <c r="S17" i="1"/>
  <c r="Q17" i="1"/>
  <c r="O17" i="1"/>
  <c r="M17" i="1"/>
  <c r="I17" i="1"/>
  <c r="G17" i="1"/>
  <c r="J17" i="1"/>
  <c r="N17" i="1"/>
  <c r="R17" i="1"/>
  <c r="Z17" i="1"/>
  <c r="AB18" i="1"/>
  <c r="Z18" i="1"/>
  <c r="X18" i="1"/>
  <c r="T18" i="1"/>
  <c r="R18" i="1"/>
  <c r="N18" i="1"/>
  <c r="L18" i="1"/>
  <c r="J18" i="1"/>
  <c r="H18" i="1"/>
  <c r="K18" i="1" s="1"/>
  <c r="I18" i="1"/>
  <c r="M18" i="1"/>
  <c r="Q18" i="1"/>
  <c r="U18" i="1"/>
  <c r="Y18" i="1"/>
  <c r="AC18" i="1"/>
  <c r="I19" i="1"/>
  <c r="M19" i="1"/>
  <c r="Q19" i="1"/>
  <c r="U19" i="1"/>
  <c r="Y19" i="1"/>
  <c r="AC19" i="1"/>
  <c r="I20" i="1"/>
  <c r="M20" i="1"/>
  <c r="Q20" i="1"/>
  <c r="U20" i="1"/>
  <c r="Y20" i="1"/>
  <c r="AC20" i="1"/>
  <c r="AE21" i="1"/>
  <c r="AC21" i="1"/>
  <c r="AA21" i="1"/>
  <c r="Y21" i="1"/>
  <c r="W21" i="1"/>
  <c r="U21" i="1"/>
  <c r="S21" i="1"/>
  <c r="Q21" i="1"/>
  <c r="O21" i="1"/>
  <c r="M21" i="1"/>
  <c r="I21" i="1"/>
  <c r="G21" i="1"/>
  <c r="J21" i="1"/>
  <c r="N21" i="1"/>
  <c r="R21" i="1"/>
  <c r="Z21" i="1"/>
  <c r="AB22" i="1"/>
  <c r="Z22" i="1"/>
  <c r="X22" i="1"/>
  <c r="T22" i="1"/>
  <c r="R22" i="1"/>
  <c r="N22" i="1"/>
  <c r="L22" i="1"/>
  <c r="J22" i="1"/>
  <c r="H22" i="1"/>
  <c r="I22" i="1"/>
  <c r="M22" i="1"/>
  <c r="Q22" i="1"/>
  <c r="U22" i="1"/>
  <c r="Y22" i="1"/>
  <c r="AC22" i="1"/>
  <c r="I23" i="1"/>
  <c r="M23" i="1"/>
  <c r="Q23" i="1"/>
  <c r="U23" i="1"/>
  <c r="Y23" i="1"/>
  <c r="AC23" i="1"/>
  <c r="F25" i="1"/>
  <c r="F26" i="1"/>
  <c r="H27" i="1"/>
  <c r="L27" i="1"/>
  <c r="T27" i="1"/>
  <c r="X27" i="1"/>
  <c r="AB27" i="1"/>
  <c r="H28" i="1"/>
  <c r="L28" i="1"/>
  <c r="T28" i="1"/>
  <c r="X28" i="1"/>
  <c r="AB28" i="1"/>
  <c r="G29" i="1"/>
  <c r="O29" i="1"/>
  <c r="S29" i="1"/>
  <c r="W29" i="1"/>
  <c r="AA29" i="1"/>
  <c r="AE29" i="1"/>
  <c r="H30" i="1"/>
  <c r="L30" i="1"/>
  <c r="T30" i="1"/>
  <c r="X30" i="1"/>
  <c r="AB30" i="1"/>
  <c r="H31" i="1"/>
  <c r="L31" i="1"/>
  <c r="T31" i="1"/>
  <c r="X31" i="1"/>
  <c r="AB31" i="1"/>
  <c r="G33" i="1"/>
  <c r="M33" i="1"/>
  <c r="U33" i="1"/>
  <c r="AC33" i="1"/>
  <c r="J34" i="1"/>
  <c r="R34" i="1"/>
  <c r="Z34" i="1"/>
  <c r="AE35" i="1"/>
  <c r="AC35" i="1"/>
  <c r="AA35" i="1"/>
  <c r="Y35" i="1"/>
  <c r="W35" i="1"/>
  <c r="U35" i="1"/>
  <c r="V35" i="1" s="1"/>
  <c r="S35" i="1"/>
  <c r="Q35" i="1"/>
  <c r="O35" i="1"/>
  <c r="M35" i="1"/>
  <c r="I35" i="1"/>
  <c r="G35" i="1"/>
  <c r="K35" i="1" s="1"/>
  <c r="AB35" i="1"/>
  <c r="X35" i="1"/>
  <c r="T35" i="1"/>
  <c r="L35" i="1"/>
  <c r="H35" i="1"/>
  <c r="N35" i="1"/>
  <c r="AB37" i="1"/>
  <c r="Z37" i="1"/>
  <c r="X37" i="1"/>
  <c r="T37" i="1"/>
  <c r="R37" i="1"/>
  <c r="N37" i="1"/>
  <c r="L37" i="1"/>
  <c r="J37" i="1"/>
  <c r="H37" i="1"/>
  <c r="AE37" i="1"/>
  <c r="AA37" i="1"/>
  <c r="W37" i="1"/>
  <c r="S37" i="1"/>
  <c r="O37" i="1"/>
  <c r="G37" i="1"/>
  <c r="M37" i="1"/>
  <c r="U37" i="1"/>
  <c r="AC37" i="1"/>
  <c r="J38" i="1"/>
  <c r="R38" i="1"/>
  <c r="V38" i="1" s="1"/>
  <c r="Z38" i="1"/>
  <c r="AE39" i="1"/>
  <c r="AC39" i="1"/>
  <c r="AA39" i="1"/>
  <c r="Y39" i="1"/>
  <c r="W39" i="1"/>
  <c r="U39" i="1"/>
  <c r="S39" i="1"/>
  <c r="Q39" i="1"/>
  <c r="O39" i="1"/>
  <c r="M39" i="1"/>
  <c r="I39" i="1"/>
  <c r="G39" i="1"/>
  <c r="AB39" i="1"/>
  <c r="X39" i="1"/>
  <c r="T39" i="1"/>
  <c r="L39" i="1"/>
  <c r="H39" i="1"/>
  <c r="N39" i="1"/>
  <c r="I40" i="1"/>
  <c r="Q40" i="1"/>
  <c r="Y40" i="1"/>
  <c r="H14" i="1"/>
  <c r="J14" i="1"/>
  <c r="K14" i="1" s="1"/>
  <c r="L14" i="1"/>
  <c r="N14" i="1"/>
  <c r="R14" i="1"/>
  <c r="T14" i="1"/>
  <c r="X14" i="1"/>
  <c r="Z14" i="1"/>
  <c r="AD14" i="1" s="1"/>
  <c r="H24" i="1"/>
  <c r="J24" i="1"/>
  <c r="L24" i="1"/>
  <c r="N24" i="1"/>
  <c r="R24" i="1"/>
  <c r="T24" i="1"/>
  <c r="X24" i="1"/>
  <c r="Z24" i="1"/>
  <c r="AD24" i="1" s="1"/>
  <c r="H41" i="1"/>
  <c r="J41" i="1"/>
  <c r="K41" i="1" s="1"/>
  <c r="L41" i="1"/>
  <c r="N41" i="1"/>
  <c r="R41" i="1"/>
  <c r="T41" i="1"/>
  <c r="X41" i="1"/>
  <c r="Z41" i="1"/>
  <c r="AD41" i="1" s="1"/>
  <c r="H42" i="1"/>
  <c r="J42" i="1"/>
  <c r="L42" i="1"/>
  <c r="N42" i="1"/>
  <c r="R42" i="1"/>
  <c r="T42" i="1"/>
  <c r="X42" i="1"/>
  <c r="Z42" i="1"/>
  <c r="AD42" i="1" s="1"/>
  <c r="AE43" i="1"/>
  <c r="AC43" i="1"/>
  <c r="AA43" i="1"/>
  <c r="Y43" i="1"/>
  <c r="W43" i="1"/>
  <c r="U43" i="1"/>
  <c r="S43" i="1"/>
  <c r="Q43" i="1"/>
  <c r="O43" i="1"/>
  <c r="M43" i="1"/>
  <c r="I43" i="1"/>
  <c r="G43" i="1"/>
  <c r="J43" i="1"/>
  <c r="N43" i="1"/>
  <c r="R43" i="1"/>
  <c r="Z43" i="1"/>
  <c r="AE44" i="1"/>
  <c r="AC44" i="1"/>
  <c r="AA44" i="1"/>
  <c r="Y44" i="1"/>
  <c r="W44" i="1"/>
  <c r="U44" i="1"/>
  <c r="S44" i="1"/>
  <c r="Q44" i="1"/>
  <c r="O44" i="1"/>
  <c r="M44" i="1"/>
  <c r="I44" i="1"/>
  <c r="G44" i="1"/>
  <c r="K44" i="1" s="1"/>
  <c r="J44" i="1"/>
  <c r="N44" i="1"/>
  <c r="R44" i="1"/>
  <c r="Z44" i="1"/>
  <c r="AD44" i="1" s="1"/>
  <c r="AB45" i="1"/>
  <c r="Z45" i="1"/>
  <c r="AD45" i="1" s="1"/>
  <c r="X45" i="1"/>
  <c r="T45" i="1"/>
  <c r="R45" i="1"/>
  <c r="N45" i="1"/>
  <c r="L45" i="1"/>
  <c r="J45" i="1"/>
  <c r="H45" i="1"/>
  <c r="I45" i="1"/>
  <c r="K45" i="1" s="1"/>
  <c r="M45" i="1"/>
  <c r="Q45" i="1"/>
  <c r="U45" i="1"/>
  <c r="Y45" i="1"/>
  <c r="AC45" i="1"/>
  <c r="H46" i="1"/>
  <c r="K46" i="1" s="1"/>
  <c r="O46" i="1"/>
  <c r="P46" i="1" s="1"/>
  <c r="Q46" i="1"/>
  <c r="T46" i="1"/>
  <c r="W46" i="1"/>
  <c r="D35" i="4" l="1"/>
  <c r="F35" i="4" s="1"/>
  <c r="F11" i="4"/>
  <c r="G21" i="2"/>
  <c r="F24" i="2"/>
  <c r="F156" i="2" s="1"/>
  <c r="P16" i="1"/>
  <c r="K11" i="1"/>
  <c r="V10" i="1"/>
  <c r="P10" i="1"/>
  <c r="AF10" i="1" s="1"/>
  <c r="AG10" i="1" s="1"/>
  <c r="K10" i="1"/>
  <c r="P38" i="1"/>
  <c r="K38" i="1"/>
  <c r="V23" i="1"/>
  <c r="V39" i="1"/>
  <c r="V30" i="1"/>
  <c r="AD29" i="1"/>
  <c r="V46" i="1"/>
  <c r="AF46" i="1" s="1"/>
  <c r="AG46" i="1" s="1"/>
  <c r="V43" i="1"/>
  <c r="K42" i="1"/>
  <c r="K24" i="1"/>
  <c r="K39" i="1"/>
  <c r="AD39" i="1"/>
  <c r="AD35" i="1"/>
  <c r="V34" i="1"/>
  <c r="P30" i="1"/>
  <c r="P27" i="1"/>
  <c r="K22" i="1"/>
  <c r="V21" i="1"/>
  <c r="P21" i="1"/>
  <c r="AD18" i="1"/>
  <c r="AD17" i="1"/>
  <c r="K17" i="1"/>
  <c r="P17" i="1"/>
  <c r="V27" i="1"/>
  <c r="W36" i="1"/>
  <c r="O36" i="1"/>
  <c r="P36" i="1" s="1"/>
  <c r="Y36" i="1"/>
  <c r="J36" i="1"/>
  <c r="S36" i="1"/>
  <c r="V32" i="1"/>
  <c r="K9" i="1"/>
  <c r="P7" i="1"/>
  <c r="V7" i="1"/>
  <c r="Y26" i="1"/>
  <c r="W26" i="1"/>
  <c r="T26" i="1"/>
  <c r="Q26" i="1"/>
  <c r="O26" i="1"/>
  <c r="H26" i="1"/>
  <c r="AE26" i="1"/>
  <c r="X26" i="1"/>
  <c r="S26" i="1"/>
  <c r="V26" i="1" s="1"/>
  <c r="L26" i="1"/>
  <c r="G26" i="1"/>
  <c r="Z26" i="1"/>
  <c r="AD26" i="1" s="1"/>
  <c r="J26" i="1"/>
  <c r="P22" i="1"/>
  <c r="P44" i="1"/>
  <c r="P39" i="1"/>
  <c r="AF39" i="1" s="1"/>
  <c r="AG39" i="1" s="1"/>
  <c r="AD37" i="1"/>
  <c r="P35" i="1"/>
  <c r="AF35" i="1" s="1"/>
  <c r="AG35" i="1" s="1"/>
  <c r="V22" i="1"/>
  <c r="AD40" i="1"/>
  <c r="AD33" i="1"/>
  <c r="AD31" i="1"/>
  <c r="K31" i="1"/>
  <c r="AD28" i="1"/>
  <c r="K28" i="1"/>
  <c r="P23" i="1"/>
  <c r="K20" i="1"/>
  <c r="AD20" i="1"/>
  <c r="P19" i="1"/>
  <c r="V19" i="1"/>
  <c r="K15" i="1"/>
  <c r="AD15" i="1"/>
  <c r="AD13" i="1"/>
  <c r="V11" i="1"/>
  <c r="P11" i="1"/>
  <c r="K36" i="1"/>
  <c r="P12" i="1"/>
  <c r="V12" i="1"/>
  <c r="AD9" i="1"/>
  <c r="P45" i="1"/>
  <c r="V45" i="1"/>
  <c r="V44" i="1"/>
  <c r="AD43" i="1"/>
  <c r="K43" i="1"/>
  <c r="P43" i="1"/>
  <c r="V42" i="1"/>
  <c r="P42" i="1"/>
  <c r="V41" i="1"/>
  <c r="P41" i="1"/>
  <c r="V24" i="1"/>
  <c r="P24" i="1"/>
  <c r="V14" i="1"/>
  <c r="P14" i="1"/>
  <c r="AD38" i="1"/>
  <c r="AF38" i="1" s="1"/>
  <c r="AG38" i="1" s="1"/>
  <c r="K37" i="1"/>
  <c r="P37" i="1"/>
  <c r="V37" i="1"/>
  <c r="AD34" i="1"/>
  <c r="K33" i="1"/>
  <c r="P31" i="1"/>
  <c r="K29" i="1"/>
  <c r="P28" i="1"/>
  <c r="AB25" i="1"/>
  <c r="Z25" i="1"/>
  <c r="X25" i="1"/>
  <c r="T25" i="1"/>
  <c r="R25" i="1"/>
  <c r="N25" i="1"/>
  <c r="L25" i="1"/>
  <c r="J25" i="1"/>
  <c r="H25" i="1"/>
  <c r="AE25" i="1"/>
  <c r="AA25" i="1"/>
  <c r="W25" i="1"/>
  <c r="S25" i="1"/>
  <c r="O25" i="1"/>
  <c r="G25" i="1"/>
  <c r="AC25" i="1"/>
  <c r="Y25" i="1"/>
  <c r="U25" i="1"/>
  <c r="Q25" i="1"/>
  <c r="M25" i="1"/>
  <c r="I25" i="1"/>
  <c r="AD22" i="1"/>
  <c r="AD21" i="1"/>
  <c r="K21" i="1"/>
  <c r="AF21" i="1" s="1"/>
  <c r="AG21" i="1" s="1"/>
  <c r="P18" i="1"/>
  <c r="V18" i="1"/>
  <c r="V17" i="1"/>
  <c r="AF17" i="1" s="1"/>
  <c r="AG17" i="1" s="1"/>
  <c r="AD16" i="1"/>
  <c r="K16" i="1"/>
  <c r="K40" i="1"/>
  <c r="P40" i="1"/>
  <c r="V40" i="1"/>
  <c r="P34" i="1"/>
  <c r="K34" i="1"/>
  <c r="P33" i="1"/>
  <c r="V33" i="1"/>
  <c r="V31" i="1"/>
  <c r="AD30" i="1"/>
  <c r="K30" i="1"/>
  <c r="P29" i="1"/>
  <c r="V29" i="1"/>
  <c r="V28" i="1"/>
  <c r="AD27" i="1"/>
  <c r="K27" i="1"/>
  <c r="K23" i="1"/>
  <c r="AD23" i="1"/>
  <c r="P20" i="1"/>
  <c r="V20" i="1"/>
  <c r="K19" i="1"/>
  <c r="AD19" i="1"/>
  <c r="P15" i="1"/>
  <c r="V15" i="1"/>
  <c r="P13" i="1"/>
  <c r="V13" i="1"/>
  <c r="AD11" i="1"/>
  <c r="F48" i="1"/>
  <c r="AE6" i="1"/>
  <c r="AE48" i="1" s="1"/>
  <c r="AC6" i="1"/>
  <c r="AC48" i="1" s="1"/>
  <c r="AA6" i="1"/>
  <c r="AA48" i="1" s="1"/>
  <c r="Y6" i="1"/>
  <c r="Y48" i="1" s="1"/>
  <c r="W6" i="1"/>
  <c r="W48" i="1" s="1"/>
  <c r="U6" i="1"/>
  <c r="U48" i="1" s="1"/>
  <c r="S6" i="1"/>
  <c r="S48" i="1" s="1"/>
  <c r="Q6" i="1"/>
  <c r="Q48" i="1" s="1"/>
  <c r="O6" i="1"/>
  <c r="O48" i="1" s="1"/>
  <c r="M6" i="1"/>
  <c r="M48" i="1" s="1"/>
  <c r="I6" i="1"/>
  <c r="I48" i="1" s="1"/>
  <c r="G6" i="1"/>
  <c r="AB6" i="1"/>
  <c r="AB48" i="1" s="1"/>
  <c r="Z6" i="1"/>
  <c r="X6" i="1"/>
  <c r="X48" i="1" s="1"/>
  <c r="T6" i="1"/>
  <c r="T48" i="1" s="1"/>
  <c r="R6" i="1"/>
  <c r="N6" i="1"/>
  <c r="N48" i="1" s="1"/>
  <c r="L6" i="1"/>
  <c r="J6" i="1"/>
  <c r="J48" i="1" s="1"/>
  <c r="H6" i="1"/>
  <c r="H48" i="1" s="1"/>
  <c r="V36" i="1"/>
  <c r="AD32" i="1"/>
  <c r="P32" i="1"/>
  <c r="K32" i="1"/>
  <c r="K12" i="1"/>
  <c r="AD12" i="1"/>
  <c r="P9" i="1"/>
  <c r="V9" i="1"/>
  <c r="AD8" i="1"/>
  <c r="K8" i="1"/>
  <c r="AD7" i="1"/>
  <c r="K7" i="1"/>
  <c r="AF43" i="1" l="1"/>
  <c r="AG43" i="1" s="1"/>
  <c r="AF45" i="1"/>
  <c r="AG45" i="1" s="1"/>
  <c r="P26" i="1"/>
  <c r="AF7" i="1"/>
  <c r="AG7" i="1" s="1"/>
  <c r="AF8" i="1"/>
  <c r="AG8" i="1" s="1"/>
  <c r="AF32" i="1"/>
  <c r="AG32" i="1" s="1"/>
  <c r="AF13" i="1"/>
  <c r="AG13" i="1" s="1"/>
  <c r="AF9" i="1"/>
  <c r="AG9" i="1" s="1"/>
  <c r="AF27" i="1"/>
  <c r="AG27" i="1" s="1"/>
  <c r="AF34" i="1"/>
  <c r="AG34" i="1" s="1"/>
  <c r="AF18" i="1"/>
  <c r="AG18" i="1" s="1"/>
  <c r="AF14" i="1"/>
  <c r="AG14" i="1" s="1"/>
  <c r="AF24" i="1"/>
  <c r="AG24" i="1" s="1"/>
  <c r="AF41" i="1"/>
  <c r="AG41" i="1" s="1"/>
  <c r="AF42" i="1"/>
  <c r="AG42" i="1" s="1"/>
  <c r="AF11" i="1"/>
  <c r="AG11" i="1" s="1"/>
  <c r="AF44" i="1"/>
  <c r="AG44" i="1" s="1"/>
  <c r="AF22" i="1"/>
  <c r="AG22" i="1" s="1"/>
  <c r="AF12" i="1"/>
  <c r="AG12" i="1" s="1"/>
  <c r="Z48" i="1"/>
  <c r="AD6" i="1"/>
  <c r="G48" i="1"/>
  <c r="K6" i="1"/>
  <c r="AF19" i="1"/>
  <c r="AG19" i="1" s="1"/>
  <c r="AF23" i="1"/>
  <c r="AG23" i="1" s="1"/>
  <c r="AF30" i="1"/>
  <c r="AG30" i="1" s="1"/>
  <c r="AF16" i="1"/>
  <c r="AG16" i="1" s="1"/>
  <c r="AD25" i="1"/>
  <c r="AF15" i="1"/>
  <c r="AG15" i="1" s="1"/>
  <c r="AF20" i="1"/>
  <c r="AG20" i="1" s="1"/>
  <c r="AF28" i="1"/>
  <c r="AG28" i="1" s="1"/>
  <c r="AF31" i="1"/>
  <c r="AG31" i="1" s="1"/>
  <c r="L48" i="1"/>
  <c r="P6" i="1"/>
  <c r="R48" i="1"/>
  <c r="V6" i="1"/>
  <c r="AF40" i="1"/>
  <c r="AG40" i="1" s="1"/>
  <c r="K25" i="1"/>
  <c r="P25" i="1"/>
  <c r="V25" i="1"/>
  <c r="AF29" i="1"/>
  <c r="AG29" i="1" s="1"/>
  <c r="AF33" i="1"/>
  <c r="AG33" i="1" s="1"/>
  <c r="AF37" i="1"/>
  <c r="AG37" i="1" s="1"/>
  <c r="AF36" i="1"/>
  <c r="AG36" i="1" s="1"/>
  <c r="K26" i="1"/>
  <c r="AF26" i="1" s="1"/>
  <c r="AG26" i="1" s="1"/>
  <c r="AF25" i="1" l="1"/>
  <c r="AG25" i="1" s="1"/>
  <c r="V48" i="1"/>
  <c r="P48" i="1"/>
  <c r="K48" i="1"/>
  <c r="AF6" i="1"/>
  <c r="AD48" i="1"/>
  <c r="AF48" i="1" l="1"/>
  <c r="AG6" i="1"/>
  <c r="AG48" i="1" s="1"/>
</calcChain>
</file>

<file path=xl/comments1.xml><?xml version="1.0" encoding="utf-8"?>
<comments xmlns="http://schemas.openxmlformats.org/spreadsheetml/2006/main">
  <authors>
    <author>Na</author>
    <author>Fis</author>
    <author>Kanjana Noisomwong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Na:</t>
        </r>
        <r>
          <rPr>
            <sz val="9"/>
            <color indexed="81"/>
            <rFont val="Tahoma"/>
            <family val="2"/>
          </rPr>
          <t xml:space="preserve">
จำนวนอาจารย์ + เจ้าหน้าที่ + นักศึกษา คณะ หารด้วย จำนวนทั้งสิ้น</t>
        </r>
      </text>
    </comment>
    <comment ref="D20" authorId="1">
      <text>
        <r>
          <rPr>
            <b/>
            <sz val="8"/>
            <color indexed="81"/>
            <rFont val="Tahoma"/>
            <family val="2"/>
          </rPr>
          <t>Fis:</t>
        </r>
        <r>
          <rPr>
            <sz val="8"/>
            <color indexed="81"/>
            <rFont val="Tahoma"/>
            <family val="2"/>
          </rPr>
          <t xml:space="preserve">
ค่ารับรองและพิธีการ 19,135.-</t>
        </r>
      </text>
    </comment>
    <comment ref="D25" authorId="1">
      <text>
        <r>
          <rPr>
            <b/>
            <sz val="8"/>
            <color indexed="81"/>
            <rFont val="Tahoma"/>
            <family val="2"/>
          </rPr>
          <t>Fis:</t>
        </r>
        <r>
          <rPr>
            <sz val="8"/>
            <color indexed="81"/>
            <rFont val="Tahoma"/>
            <family val="2"/>
          </rPr>
          <t xml:space="preserve">
รวมวัสดุ งบเงินอุดหนุน 2,952.13+12,000
</t>
        </r>
      </text>
    </comment>
    <comment ref="C27" authorId="0">
      <text>
        <r>
          <rPr>
            <b/>
            <sz val="9"/>
            <color indexed="81"/>
            <rFont val="Tahoma"/>
            <family val="2"/>
          </rPr>
          <t>Na:</t>
        </r>
        <r>
          <rPr>
            <sz val="9"/>
            <color indexed="81"/>
            <rFont val="Tahoma"/>
            <family val="2"/>
          </rPr>
          <t xml:space="preserve">
จำนวนอาจารย์ + เจ้าหน้าที่ + นักศึกษา คณะ หารด้วย จำนวนทั้งสิ้น</t>
        </r>
      </text>
    </comment>
    <comment ref="B30" authorId="2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ค่าเช่าอสังหาริมทรัพย์ + ค่าเช่าเบ็ดเตล็ดบุคคลภายนอก + ค่าเช่าอื่น ๆ 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Na:</t>
        </r>
        <r>
          <rPr>
            <sz val="9"/>
            <color indexed="81"/>
            <rFont val="Tahoma"/>
            <family val="2"/>
          </rPr>
          <t xml:space="preserve">
จำนวนอาจารย์ + เจ้าหน้าที่ + นักศึกษา คณะ หารด้วย จำนวนทั้งสิ้น</t>
        </r>
      </text>
    </comment>
    <comment ref="B43" authorId="2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  <comment ref="B44" authorId="2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</commentList>
</comments>
</file>

<file path=xl/sharedStrings.xml><?xml version="1.0" encoding="utf-8"?>
<sst xmlns="http://schemas.openxmlformats.org/spreadsheetml/2006/main" count="369" uniqueCount="247">
  <si>
    <t>รวมค่าใช้จ่ายส่วนกลางทุกหน่วยงาน</t>
  </si>
  <si>
    <t xml:space="preserve">ปันส่วนเข้าสู่คณะต่าง ๆ </t>
  </si>
  <si>
    <t>ลำดับ</t>
  </si>
  <si>
    <t>ประเภทค่าใช้จ่าย</t>
  </si>
  <si>
    <t>เกณฑ์การปันส่วน</t>
  </si>
  <si>
    <t>คชจ.ทางอ้อม (สนับสนุน)</t>
  </si>
  <si>
    <t>คณะ</t>
  </si>
  <si>
    <t>งปม.</t>
  </si>
  <si>
    <t>รายได้</t>
  </si>
  <si>
    <t>รวม</t>
  </si>
  <si>
    <t>บริหารธุรกิจ</t>
  </si>
  <si>
    <t>วิศวกรรมศาสตร์</t>
  </si>
  <si>
    <t>สถาปัตยกรรมศาสตร์</t>
  </si>
  <si>
    <t>ศิลปศาสตร์</t>
  </si>
  <si>
    <t>วิทยาลัยเพาะช่าง</t>
  </si>
  <si>
    <t>อุตสาหกรรมการโรงแรม</t>
  </si>
  <si>
    <t>อุตสาหกรรมและเทคโน</t>
  </si>
  <si>
    <t>วิทยาลัยนวัตกรรม</t>
  </si>
  <si>
    <t>วิทยาลัยพลังงาน</t>
  </si>
  <si>
    <t>ศาลายา</t>
  </si>
  <si>
    <t>จักรวรรดิ</t>
  </si>
  <si>
    <t>เพาะช่าง</t>
  </si>
  <si>
    <t>วังไกล</t>
  </si>
  <si>
    <t>เงินเดือน</t>
  </si>
  <si>
    <t>จำนวนบุคลากร +นศ. ทุกคณะ</t>
  </si>
  <si>
    <t>เงินประจำตำแหน่ง</t>
  </si>
  <si>
    <t>"</t>
  </si>
  <si>
    <t>ค่าล่วงเวลา</t>
  </si>
  <si>
    <t>เงินตอบแทนพิเศษเต็มขั้น</t>
  </si>
  <si>
    <t>ค่าตอบแทนพนักงานราชการ</t>
  </si>
  <si>
    <t>เงินเพิ่มค่าครองชีพ</t>
  </si>
  <si>
    <t>ค่าเช่าบ้าน</t>
  </si>
  <si>
    <t>ค่าตอบแทนรถประจำตำแหน่ง</t>
  </si>
  <si>
    <t>ค่าจ้างที่ปรึกษา</t>
  </si>
  <si>
    <t>ค่าใช้จ่ายในการประชุม</t>
  </si>
  <si>
    <t>ค่าตอบแทนเฉพาะงาน</t>
  </si>
  <si>
    <t>(ค่าควบคุมงาน + ร่าง TOR + ตรวจการจ้าง + ประเมินผลงาน)</t>
  </si>
  <si>
    <t>เงินประจำตำแหน่งพิเศษและเงินเพิ่ม</t>
  </si>
  <si>
    <t>เงินสมทบกองทุนประกันสังคม</t>
  </si>
  <si>
    <t>ค่าใช้จ่ายอบรมในประเทศ</t>
  </si>
  <si>
    <t>ค่าเบี้ยเลี้ยง</t>
  </si>
  <si>
    <t>ค่าที่พัก</t>
  </si>
  <si>
    <t>ค่าใช้จ่ายเดินทางในประเทศ</t>
  </si>
  <si>
    <t>ค่าใช้จ่ายเดินทางต่างประเทศ</t>
  </si>
  <si>
    <t>ค่าวัสดุ</t>
  </si>
  <si>
    <t>ค่าซ่อมแซมและบำรุงรักษา</t>
  </si>
  <si>
    <t>พื้นที่</t>
  </si>
  <si>
    <t>ค่าจ้างเหมาบริการ - บุคคลภายนอก</t>
  </si>
  <si>
    <t>ค่าจ้างเหมาบริการ - หน่วยงานรัฐ</t>
  </si>
  <si>
    <t>ค่าเบี้ยประกันภัย</t>
  </si>
  <si>
    <t>ค่าเช่าทรัพย์สิน (เครื่องถ่ายเอกสาร)</t>
  </si>
  <si>
    <t>ค่าประชาสัมพันธ์ (ค่าลงโฆษณา)</t>
  </si>
  <si>
    <t>ค่าใช้สอยอื่น</t>
  </si>
  <si>
    <t>วัสดุคงคลัง (วัสดุฝึก + วัสดุ สนง.)</t>
  </si>
  <si>
    <t>ค่าเชื้อเพลิง</t>
  </si>
  <si>
    <t>ครุภัณฑ์ต่ำกว่าเกณฑ์</t>
  </si>
  <si>
    <t>ไฟฟ้า</t>
  </si>
  <si>
    <t>ประปา</t>
  </si>
  <si>
    <t>โทรศัพท์</t>
  </si>
  <si>
    <t>Internet</t>
  </si>
  <si>
    <t>ไปรษณีย์</t>
  </si>
  <si>
    <t>เงินบำเหน็จอาจารย์ต่างประเทศ</t>
  </si>
  <si>
    <t>ค่าใช้จ่ายทุนการศึกษาในประเทศ</t>
  </si>
  <si>
    <t>คชจ.อุดหนุน หน่วยงานภาครัฐ (ศึกษาทางไกล)</t>
  </si>
  <si>
    <t>คชจ.อุดหนุนเพื่อดำเนินงานอื่น (ทุนพระเทพ)</t>
  </si>
  <si>
    <t>ค่าวิจัยและพัฒนาหน่วยงานภาครัฐ (เงินวิจัย)</t>
  </si>
  <si>
    <t>ค่าเสื่อมราคาประจำปี</t>
  </si>
  <si>
    <t>รวมค่าใช้จ่าย</t>
  </si>
  <si>
    <t>ส่วนกลาง</t>
  </si>
  <si>
    <t>สำนักบริหาร จก.</t>
  </si>
  <si>
    <t>งบบุคลากร ส่วนกลาง</t>
  </si>
  <si>
    <t>งบบุคลากร จักรวรรดิ</t>
  </si>
  <si>
    <t>งบบุคลากร วังไกล</t>
  </si>
  <si>
    <t>ค่าเสื่อมราคาประจำปี 2559</t>
  </si>
  <si>
    <t>หมายเหตุ เกณฑ์การปันส่วน</t>
  </si>
  <si>
    <t>จำนวนบุคลากร +นศ. ทุกคณะ     =</t>
  </si>
  <si>
    <t>จำนวนเงินรวม * (จำนวนอาจารย์คณะ + เจ้าหน้าที่คณะ + นักศึกษาคณะ หารด้วย จำนวนบุคลากรและนักศึกษาทั้งมหาวิทยาลัย)</t>
  </si>
  <si>
    <t>พื้นที่                                         =</t>
  </si>
  <si>
    <t>จำนวนเงินรวม *จำนวนพื้นที่ของแต่ละคณะ หารด้วย จำนวนพื้นที่รวมทั้งมหาวิทยาลัย</t>
  </si>
  <si>
    <t>สรุปจำนวนนักศึกษาทั้งหมด ประจำปีการศึกษา 2558 (ข้อมูล สวท.)</t>
  </si>
  <si>
    <t>ภาพรวมทั้งหลักสูตร</t>
  </si>
  <si>
    <t>รายการ</t>
  </si>
  <si>
    <t>ภาคการศึกษา</t>
  </si>
  <si>
    <t>ถัวเฉลี่ยทั้งปี</t>
  </si>
  <si>
    <t>1/58</t>
  </si>
  <si>
    <t>2/58</t>
  </si>
  <si>
    <t>(รวม / 2)</t>
  </si>
  <si>
    <t>คณะวิศวกรรมศาสตร์และสถาปัตยกรรมศาสตร์</t>
  </si>
  <si>
    <t>ศาลายา (วศส.)</t>
  </si>
  <si>
    <t>วิศวกรรมโยธา ศย.</t>
  </si>
  <si>
    <t>วิศวกรรมโทรคมนาคม</t>
  </si>
  <si>
    <t>วิศวกรรมเมคคาทรอนิกส์</t>
  </si>
  <si>
    <t>วิศวกรรมคอมพิวเตอร์</t>
  </si>
  <si>
    <t>วิศวกรรมการวัดคุม</t>
  </si>
  <si>
    <t>วิศวกรรมเครื่องกล</t>
  </si>
  <si>
    <t>วิศวกรรมไฟฟ้า</t>
  </si>
  <si>
    <t>วิศวกรรมวัสดุ</t>
  </si>
  <si>
    <t>วิศวกรรมอุตสาหการ</t>
  </si>
  <si>
    <t>วิศวกรรมโยธา (เทียบโอนรายวิชา; ศย.)</t>
  </si>
  <si>
    <t>วิศวกรรมโทรคมนาคม (เทียบโอนรายวิชา)</t>
  </si>
  <si>
    <t>ภาคสมทบ (วิทย์) วศส.(ศย.)</t>
  </si>
  <si>
    <t>วิศวกรรมโยธา (เทียบโอนรายวิชา)  สมทบ (ศย.)</t>
  </si>
  <si>
    <t xml:space="preserve">วิศวกรรมไฟฟ้า (เทียบโอนรายวิชา)  สมทบ </t>
  </si>
  <si>
    <t>วังไกลกังวล (วศส.)</t>
  </si>
  <si>
    <t>วิศวกรรมโยธา วก.</t>
  </si>
  <si>
    <t>คณะสถาปัตยกรรมศาสตร์และการออกแบบ</t>
  </si>
  <si>
    <t>เทคโนโลยีสถาปัตยกรรม (3, 5 ปี)</t>
  </si>
  <si>
    <t>การจัดการงานก่อสร้าง</t>
  </si>
  <si>
    <t>เทคโนโลยีนิเทศศิลป์</t>
  </si>
  <si>
    <t>ออกแบบผลิตภัณฑ์อุตสาหกรรม</t>
  </si>
  <si>
    <t>การจัดการทรัพยากรอาคาร</t>
  </si>
  <si>
    <t>การออกแบบสื่อดิจิทัล</t>
  </si>
  <si>
    <t>สถาปัตยกรรมและการออกแบบชุมชนเมือง 5 ปี</t>
  </si>
  <si>
    <t>สถาปัตยกรรมภายใน 5 ปี</t>
  </si>
  <si>
    <t>คณะอุตสาหกรรมและเทคโนโลยี</t>
  </si>
  <si>
    <t>เทคโนโลยีวิศวกรรมการออกแบบแม่พิมพ์</t>
  </si>
  <si>
    <t>เทคโนโลยีวิศวกรรมคอมพิวเตอร์</t>
  </si>
  <si>
    <t>เทคโนโลยีวิศวกรรมไฟฟ้า</t>
  </si>
  <si>
    <t>เทคโนโลยีวิศวกรรมอุตสาหการ</t>
  </si>
  <si>
    <t>เทคโนโลยีสารสนเทศ</t>
  </si>
  <si>
    <t>เทคโนโลยีสื่อสารมวลชน</t>
  </si>
  <si>
    <t>เทคโนโลยีวิศวกรรมการผลิต</t>
  </si>
  <si>
    <t>เทคโนโลยีวิศวกรรมคอมพิวเตอร์ (เทียบโอนรายวิชา)</t>
  </si>
  <si>
    <t>เทคโนโลยีวิศวกรรมไฟฟ้า (เทียบโอนรายวิชา)</t>
  </si>
  <si>
    <t>เทคโนโลยีวิศวกรรมอุตสาหการ (เทียบโอนรายวิชา)</t>
  </si>
  <si>
    <t>เทคโนโลยีสารสนเทศ (เทียบโอนรายวิชา)</t>
  </si>
  <si>
    <t>คณะอุตสาหกรรมการโรงแรมและการท่องเที่ยว</t>
  </si>
  <si>
    <t>การโรงแรม</t>
  </si>
  <si>
    <t>การท่องเที่ยว</t>
  </si>
  <si>
    <t>คณะบริหารธุรกิจ</t>
  </si>
  <si>
    <t>ศาลายา (บธ.)</t>
  </si>
  <si>
    <t>วิทย์ บธ.ศย.</t>
  </si>
  <si>
    <t>การจัดการ-การจัดการอุตสาหกรรม ศย.</t>
  </si>
  <si>
    <t>เทคโนโลยีสารสนเทศทางธุรกิจ-การจัดการเทคโนโลยีสารสนเทศ ศย.</t>
  </si>
  <si>
    <t>เทคโนโลยีสารสนเทศทางธุรกิจ-การพัฒนาซอฟต์แวร์ ศย.</t>
  </si>
  <si>
    <t>เทคโนโลยีสารสนเทศทางธุรกิจ-นวัตกรรมมัลติมีเดีย ศย.</t>
  </si>
  <si>
    <t>การจัดการ-การจัดการอุตสาหกรรม 1 (เทียบโอนรายวิชา; ศย.)</t>
  </si>
  <si>
    <t>เทคโนโลยีสารสนเทศทางธุรกิจ-การจัดการเทคโนโลยีสารสนเทศ (เทียบโอนรายวิชา; ศย.)</t>
  </si>
  <si>
    <t>สังคม บธ.ศย.</t>
  </si>
  <si>
    <t>การบัญชี ศย.</t>
  </si>
  <si>
    <t>การตลาด ศย.</t>
  </si>
  <si>
    <t>การบริหารธุรกิจระหว่างประเทศ (หลักสูตรนานาชาติ) ศย.</t>
  </si>
  <si>
    <t>การบัญชี (เทียบโอนรายวิชา; ศย.)</t>
  </si>
  <si>
    <t>การตลาด (เทียบโอนรายวิชา; ศย.)</t>
  </si>
  <si>
    <t>ภาคสมทบ (สังคม) บธ.(ศย.)</t>
  </si>
  <si>
    <t>การบัญชี สมทบ (ศย.)</t>
  </si>
  <si>
    <t>วังไกลกังวล (บธ.)</t>
  </si>
  <si>
    <t>วิทย์ บธ.วก.</t>
  </si>
  <si>
    <t>การจัดการ-การจัดการอุตสาหกรรม วก.</t>
  </si>
  <si>
    <t>เทคโนโลยีสารสนเทศทางธุรกิจ-การจัดการเทคโนโลยีสารสนเทศ (วก.)</t>
  </si>
  <si>
    <t>เทคโนโลยีสารสนเทศทางธุรกิจ-การพัฒนาซอฟต์แวร์ วก.</t>
  </si>
  <si>
    <t>เทคโนโลยีสารสนเทศทางธุรกิจ-นวัตกรรมมัลติมีเดีย (วก.)</t>
  </si>
  <si>
    <t>ระบบสารสนเทศทางคอมพิวเตอร์-พัฒนาซอฟต์แวร์ วก.</t>
  </si>
  <si>
    <t>การจัดการ-การจัดการอุตสาหกรรม 1 (เทียบโอนรายวิชา; วก.)</t>
  </si>
  <si>
    <t>การจัดการ-การจัดการอุตสาหกรรม 2 (เทียบโอนรายวิชา; วก.)</t>
  </si>
  <si>
    <t>เทคโนโลยีสารสนเทศทางธุรกิจ-การจัดการเทคโนโลยีสารสนเทศ (เทียบโอนรายวิชา; วก.)</t>
  </si>
  <si>
    <t>สังคม บธ.วก.</t>
  </si>
  <si>
    <t>การบัญชี วก.</t>
  </si>
  <si>
    <t>ภาษาอังกฤษธุรกิจ วก.</t>
  </si>
  <si>
    <t>การบัญชี (เทียบโอนรายวิชา; วก.)</t>
  </si>
  <si>
    <t>ภาคพิเศษ (วิทย์) บธ. (วก.)</t>
  </si>
  <si>
    <t>การจัดการ-การจัดการอุตสาหกรรม (เทียบโอนรายวิชา) ราชบุรี</t>
  </si>
  <si>
    <t>การจัดการ-การจัดการอุตสาหกรรม 1 (เทียบโอนรายวิชา) พิเศษ</t>
  </si>
  <si>
    <t>เทคโนโลยีสารสนเทศทางธุรกิจ-การจัดการเทคโนโลยีสารสนเทศ (เทียบโอนฯ) ราชบุรี</t>
  </si>
  <si>
    <t>ภาคพิเศษ (สังคม) บธ. (วก.)</t>
  </si>
  <si>
    <t>การบัญชี (เทียบโอนรายวิชา) ราชบุรี</t>
  </si>
  <si>
    <t>บพิตรพิมุข จักรวรรดิ (บธ.)</t>
  </si>
  <si>
    <t>วิทย์ บธ. บพิตรพิมุข จักรวรรดิ</t>
  </si>
  <si>
    <t>การจัดการ-การจัดการอุตสาหกรรม จักรวรรดิฯ</t>
  </si>
  <si>
    <t>เทคโนโลยีสารสนเทศทางธุรกิจ-การพัฒนาซอฟต์แวร์ จักรวรรดิฯ</t>
  </si>
  <si>
    <t>สังคม บธ. บพิตรพิมุข จักรวรรดิ ป.ตรี</t>
  </si>
  <si>
    <t>การบัญชี จักรวรรดิฯ</t>
  </si>
  <si>
    <t>การตลาด จักรวรรดิฯ</t>
  </si>
  <si>
    <t>การจัดการ-การจัดการทั่วไป จักรวรรดิฯ</t>
  </si>
  <si>
    <t>ภาษาอังกฤษธุรกิจ จักรวรรดิฯ</t>
  </si>
  <si>
    <t>การบริหารธุรกิจ (หลักสูตรภาษาจีน; จักรวรรดิฯ)</t>
  </si>
  <si>
    <t>การบัญชี (เทียบโอนรายวิชา; จักรวรรดิฯ)</t>
  </si>
  <si>
    <t>การตลาด (เทียบโอนรายวิชา; จักรวรรดิฯ)</t>
  </si>
  <si>
    <t>ภาคพิเศษ(สังคม) ป.ตรี (จักรวรรดิฯ)</t>
  </si>
  <si>
    <t>การตลาด พิเศษ (จักรวรรดิฯ)</t>
  </si>
  <si>
    <t>บธ. บพิตรพิมุข จักรวรรดิ ป.ตรี</t>
  </si>
  <si>
    <t>สังคม บธ. บพิตรพิมุข จักรวรรดิ ป.โท (MBA)</t>
  </si>
  <si>
    <t>ไม่ระบุวิชาเอก</t>
  </si>
  <si>
    <t>การบัญชี ป.โท</t>
  </si>
  <si>
    <t>การจัดการ ป.โท</t>
  </si>
  <si>
    <t>การจัดการ-การจัดการอุตสาหกรรม</t>
  </si>
  <si>
    <t>เทคโนโลยีสารสนเทศทางธุรกิจ-การจัดการเทคโนโลยีสารสนเทศ</t>
  </si>
  <si>
    <t>เทคโนโลยีสารสนเทศทางธุรกิจ-การพัฒนาซอฟต์แวร์</t>
  </si>
  <si>
    <t>เทคโนโลยีสารสนเทศทางธุรกิจ-นวัตกรรมมัลติมีเดีย</t>
  </si>
  <si>
    <t>การตลาด (ภาคพิเศษ)</t>
  </si>
  <si>
    <t>คณะศิลปศาสตร์</t>
  </si>
  <si>
    <t>ภาษาจีน</t>
  </si>
  <si>
    <t>ภาษาญี่ปุ่น</t>
  </si>
  <si>
    <t>ภาษาอังกฤษเพื่อการสื่อสารสากล</t>
  </si>
  <si>
    <t>เครื่องปั้นดินเผา</t>
  </si>
  <si>
    <t>เครื่องโลหะและรูปพรรณอัญมณี</t>
  </si>
  <si>
    <t>จิตรกรรม</t>
  </si>
  <si>
    <t>จิตรกรรมไทย</t>
  </si>
  <si>
    <t>ประติมากรรม</t>
  </si>
  <si>
    <t>ประติมากรรมไทย</t>
  </si>
  <si>
    <t>ศิลปะการถ่ายภาพ</t>
  </si>
  <si>
    <t>ศิลปะภาพพิมพ์</t>
  </si>
  <si>
    <t>ศิลปหัตถกรรม</t>
  </si>
  <si>
    <t>หัตถกรรม</t>
  </si>
  <si>
    <t>หัตถศิลป์</t>
  </si>
  <si>
    <t>ออกแบบนิเทศศิลป์</t>
  </si>
  <si>
    <t>ออกแบบผลิตภัณฑ์</t>
  </si>
  <si>
    <t>ออกแบบภายใน</t>
  </si>
  <si>
    <t>ภาคสมทบ(สังคมฯ)</t>
  </si>
  <si>
    <t>ศิลปะการถ่ายภาพ สมทบ</t>
  </si>
  <si>
    <t>ออกแบบนิเทศศิลป์ สมทบ</t>
  </si>
  <si>
    <t>ออกแบบผลิตภัณฑ์ สมทบ</t>
  </si>
  <si>
    <t>ออกแบบภายใน สมทบ</t>
  </si>
  <si>
    <t>วิทยาลัยพลังงานและสิ่งแวดล้อมอย่างยั่งยืนรัตนโกสินทร์</t>
  </si>
  <si>
    <t>ปริญญาโท วพส.</t>
  </si>
  <si>
    <t>เทคโนโลยีและการจัดการพลังงานและสิ่งแวดล้อมอย่างยั่งยืน พิเศษ ป.โท</t>
  </si>
  <si>
    <t>พลังงานและสิ่งแวดล้อมอย่างยั่งยืน พิเศษ ป.โท</t>
  </si>
  <si>
    <t>ปริญญาเอก วพส.</t>
  </si>
  <si>
    <t>เทคโนโลยีและการจัดการพลังงานและสิ่งแวดล้อมอย่างยั่งยืน พิเศษ ป.เอก</t>
  </si>
  <si>
    <t>พลังงานและสิ่งแวดล้อมอย่างยั่งยืน พิเศษ ป.เอก</t>
  </si>
  <si>
    <t>วิทยาลัยนวัตกรรมการจัดการ</t>
  </si>
  <si>
    <t>ป.โท+ป.เอก วนก.</t>
  </si>
  <si>
    <t>รัฐประศาสนศาสตรมหาบัณฑิตและดุษฎีบัณฑิต ป.โท+ป.เอก</t>
  </si>
  <si>
    <t>ป.เอก วนก.</t>
  </si>
  <si>
    <t>รัฐประศาสนศาสตรดุษฎีบัณฑิต</t>
  </si>
  <si>
    <t>บริหารธุรกิจดุษฎีบัณฑิต</t>
  </si>
  <si>
    <t>รวมทั้งหมด</t>
  </si>
  <si>
    <t>มหาวิทยาลัยเทคโนโลยีราชมงคลรัตนโกสินทร์</t>
  </si>
  <si>
    <t>รวมจำนวนบุคลากร 59 + นักศึกษา 58 ใช้ค่าใช้จ่ายปีงบประมาณ 2559</t>
  </si>
  <si>
    <t>คณะ/พื้นที่</t>
  </si>
  <si>
    <t>บุคลากร 59</t>
  </si>
  <si>
    <t>นักศึกษา 58</t>
  </si>
  <si>
    <t>รวม 58+59</t>
  </si>
  <si>
    <t>รวม 59</t>
  </si>
  <si>
    <t>ผลต่าง</t>
  </si>
  <si>
    <t xml:space="preserve"> -  ศาลายา</t>
  </si>
  <si>
    <t xml:space="preserve"> -  จักรวรรดิ</t>
  </si>
  <si>
    <t xml:space="preserve"> -  เพาะช่าง</t>
  </si>
  <si>
    <t xml:space="preserve"> -  วังไกล</t>
  </si>
  <si>
    <t>คณะวิศวกรรมศาสตร์</t>
  </si>
  <si>
    <t>คณะอุตสากรรมการโรงแรมและการท่องเที่ยว</t>
  </si>
  <si>
    <t>คณะอุตสากรรมและเทคโนโลยี</t>
  </si>
  <si>
    <t>วิทยาลัยพลังงานและสิ่งแวดล้อมฯ</t>
  </si>
  <si>
    <t>สรุปจำนวนบุคลกร ปี 2559 (กองบริหารงานบุคคล)</t>
  </si>
  <si>
    <t>บุคลากรประจำคณะ</t>
  </si>
  <si>
    <t>สายวิชาการ</t>
  </si>
  <si>
    <t>สายสนับสนุน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</si>
</sst>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color rgb="FF0000FF"/>
      <name val="TH SarabunPSK"/>
      <family val="2"/>
    </font>
    <font>
      <sz val="16"/>
      <color rgb="FF0000FF"/>
      <name val="TH SarabunPSK"/>
      <family val="2"/>
    </font>
    <font>
      <b/>
      <u val="double"/>
      <sz val="18"/>
      <color rgb="FF0000FF"/>
      <name val="TH SarabunPSK"/>
      <family val="2"/>
    </font>
    <font>
      <b/>
      <sz val="16"/>
      <color theme="1"/>
      <name val="TH SarabunPSK"/>
      <family val="2"/>
    </font>
    <font>
      <sz val="10"/>
      <name val="Arial"/>
      <family val="2"/>
    </font>
    <font>
      <sz val="16"/>
      <name val="TH SarabunIT๙"/>
      <family val="2"/>
    </font>
    <font>
      <sz val="16"/>
      <color theme="1"/>
      <name val="TH SarabunPSK"/>
      <family val="2"/>
    </font>
    <font>
      <b/>
      <sz val="16"/>
      <name val="TH SarabunIT๙"/>
      <family val="2"/>
    </font>
    <font>
      <b/>
      <sz val="14"/>
      <name val="TH SarabunPSK"/>
      <family val="2"/>
    </font>
    <font>
      <b/>
      <sz val="14"/>
      <color rgb="FF0000FF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43" fontId="3" fillId="0" borderId="14" xfId="1" applyFont="1" applyFill="1" applyBorder="1" applyAlignment="1">
      <alignment horizontal="left"/>
    </xf>
    <xf numFmtId="43" fontId="3" fillId="0" borderId="14" xfId="1" applyFont="1" applyFill="1" applyBorder="1" applyAlignment="1">
      <alignment horizontal="center"/>
    </xf>
    <xf numFmtId="43" fontId="3" fillId="0" borderId="0" xfId="0" applyNumberFormat="1" applyFont="1" applyFill="1" applyAlignment="1">
      <alignment horizontal="left"/>
    </xf>
    <xf numFmtId="0" fontId="3" fillId="0" borderId="1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/>
    </xf>
    <xf numFmtId="43" fontId="3" fillId="0" borderId="15" xfId="1" applyFont="1" applyFill="1" applyBorder="1" applyAlignment="1">
      <alignment horizontal="center"/>
    </xf>
    <xf numFmtId="43" fontId="3" fillId="0" borderId="16" xfId="1" applyFont="1" applyFill="1" applyBorder="1" applyAlignment="1">
      <alignment horizontal="left"/>
    </xf>
    <xf numFmtId="43" fontId="3" fillId="0" borderId="15" xfId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left"/>
    </xf>
    <xf numFmtId="43" fontId="5" fillId="0" borderId="15" xfId="1" applyFont="1" applyFill="1" applyBorder="1" applyAlignment="1">
      <alignment horizontal="center"/>
    </xf>
    <xf numFmtId="43" fontId="5" fillId="0" borderId="15" xfId="1" applyFont="1" applyFill="1" applyBorder="1" applyAlignment="1">
      <alignment horizontal="left"/>
    </xf>
    <xf numFmtId="43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16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left"/>
    </xf>
    <xf numFmtId="43" fontId="5" fillId="0" borderId="17" xfId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left"/>
    </xf>
    <xf numFmtId="43" fontId="3" fillId="0" borderId="17" xfId="1" applyFont="1" applyFill="1" applyBorder="1" applyAlignment="1">
      <alignment horizontal="center"/>
    </xf>
    <xf numFmtId="43" fontId="3" fillId="0" borderId="18" xfId="1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center"/>
    </xf>
    <xf numFmtId="43" fontId="2" fillId="0" borderId="21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1" applyFont="1" applyFill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43" fontId="11" fillId="0" borderId="0" xfId="1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13" fillId="0" borderId="0" xfId="0" applyFont="1"/>
    <xf numFmtId="0" fontId="13" fillId="0" borderId="0" xfId="0" applyFont="1" applyBorder="1"/>
    <xf numFmtId="187" fontId="13" fillId="0" borderId="0" xfId="2" applyFont="1" applyBorder="1" applyAlignment="1">
      <alignment horizontal="center"/>
    </xf>
    <xf numFmtId="187" fontId="13" fillId="0" borderId="8" xfId="2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4" borderId="8" xfId="3" applyFont="1" applyFill="1" applyBorder="1"/>
    <xf numFmtId="187" fontId="16" fillId="0" borderId="8" xfId="2" applyFont="1" applyBorder="1" applyAlignment="1">
      <alignment horizontal="center"/>
    </xf>
    <xf numFmtId="0" fontId="16" fillId="0" borderId="0" xfId="0" applyFont="1"/>
    <xf numFmtId="0" fontId="15" fillId="5" borderId="8" xfId="3" applyFont="1" applyFill="1" applyBorder="1"/>
    <xf numFmtId="0" fontId="15" fillId="5" borderId="8" xfId="3" applyFont="1" applyFill="1" applyBorder="1" applyAlignment="1">
      <alignment shrinkToFit="1"/>
    </xf>
    <xf numFmtId="0" fontId="16" fillId="0" borderId="8" xfId="0" applyFont="1" applyBorder="1" applyAlignment="1">
      <alignment horizontal="center"/>
    </xf>
    <xf numFmtId="0" fontId="15" fillId="0" borderId="8" xfId="3" applyFont="1" applyBorder="1" applyAlignment="1">
      <alignment shrinkToFit="1"/>
    </xf>
    <xf numFmtId="0" fontId="15" fillId="0" borderId="8" xfId="3" applyFont="1" applyFill="1" applyBorder="1" applyAlignment="1">
      <alignment shrinkToFit="1"/>
    </xf>
    <xf numFmtId="0" fontId="13" fillId="0" borderId="8" xfId="0" applyFont="1" applyBorder="1" applyAlignment="1">
      <alignment horizontal="left"/>
    </xf>
    <xf numFmtId="187" fontId="16" fillId="0" borderId="0" xfId="0" applyNumberFormat="1" applyFont="1"/>
    <xf numFmtId="0" fontId="13" fillId="0" borderId="8" xfId="0" applyFont="1" applyBorder="1" applyAlignment="1">
      <alignment horizontal="center"/>
    </xf>
    <xf numFmtId="0" fontId="13" fillId="6" borderId="8" xfId="0" applyFont="1" applyFill="1" applyBorder="1"/>
    <xf numFmtId="187" fontId="13" fillId="6" borderId="8" xfId="2" applyFont="1" applyFill="1" applyBorder="1" applyAlignment="1">
      <alignment horizontal="center"/>
    </xf>
    <xf numFmtId="187" fontId="13" fillId="0" borderId="8" xfId="2" applyFont="1" applyFill="1" applyBorder="1" applyAlignment="1">
      <alignment horizontal="center"/>
    </xf>
    <xf numFmtId="0" fontId="15" fillId="7" borderId="8" xfId="3" applyFont="1" applyFill="1" applyBorder="1"/>
    <xf numFmtId="0" fontId="15" fillId="7" borderId="8" xfId="3" applyFont="1" applyFill="1" applyBorder="1" applyAlignment="1">
      <alignment shrinkToFit="1"/>
    </xf>
    <xf numFmtId="0" fontId="15" fillId="0" borderId="8" xfId="3" applyFont="1" applyFill="1" applyBorder="1" applyAlignment="1">
      <alignment wrapText="1"/>
    </xf>
    <xf numFmtId="0" fontId="15" fillId="8" borderId="8" xfId="3" applyFont="1" applyFill="1" applyBorder="1"/>
    <xf numFmtId="0" fontId="15" fillId="8" borderId="8" xfId="3" applyFont="1" applyFill="1" applyBorder="1" applyAlignment="1">
      <alignment shrinkToFit="1"/>
    </xf>
    <xf numFmtId="0" fontId="15" fillId="0" borderId="8" xfId="3" applyFont="1" applyBorder="1" applyAlignment="1">
      <alignment wrapText="1"/>
    </xf>
    <xf numFmtId="187" fontId="16" fillId="0" borderId="8" xfId="2" applyFont="1" applyFill="1" applyBorder="1" applyAlignment="1">
      <alignment horizontal="center"/>
    </xf>
    <xf numFmtId="0" fontId="15" fillId="0" borderId="8" xfId="3" applyFont="1" applyFill="1" applyBorder="1" applyAlignment="1"/>
    <xf numFmtId="0" fontId="17" fillId="0" borderId="8" xfId="3" applyFont="1" applyFill="1" applyBorder="1"/>
    <xf numFmtId="0" fontId="17" fillId="0" borderId="8" xfId="3" applyFont="1" applyFill="1" applyBorder="1" applyAlignment="1">
      <alignment shrinkToFit="1"/>
    </xf>
    <xf numFmtId="0" fontId="15" fillId="0" borderId="8" xfId="3" applyFont="1" applyFill="1" applyBorder="1"/>
    <xf numFmtId="0" fontId="13" fillId="0" borderId="10" xfId="0" applyFont="1" applyBorder="1" applyAlignment="1">
      <alignment horizontal="left"/>
    </xf>
    <xf numFmtId="0" fontId="15" fillId="0" borderId="12" xfId="3" applyFont="1" applyFill="1" applyBorder="1"/>
    <xf numFmtId="0" fontId="15" fillId="0" borderId="8" xfId="3" applyFont="1" applyBorder="1"/>
    <xf numFmtId="0" fontId="16" fillId="0" borderId="21" xfId="0" applyFont="1" applyBorder="1" applyAlignment="1">
      <alignment horizontal="center"/>
    </xf>
    <xf numFmtId="0" fontId="13" fillId="6" borderId="21" xfId="0" applyFont="1" applyFill="1" applyBorder="1"/>
    <xf numFmtId="187" fontId="13" fillId="6" borderId="21" xfId="2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87" fontId="16" fillId="0" borderId="0" xfId="2" applyFont="1" applyAlignment="1">
      <alignment horizontal="center"/>
    </xf>
    <xf numFmtId="187" fontId="16" fillId="0" borderId="0" xfId="2" applyFont="1"/>
    <xf numFmtId="43" fontId="16" fillId="0" borderId="0" xfId="4" applyFont="1"/>
    <xf numFmtId="0" fontId="19" fillId="0" borderId="8" xfId="3" applyFont="1" applyBorder="1" applyAlignment="1">
      <alignment vertical="center"/>
    </xf>
    <xf numFmtId="43" fontId="18" fillId="0" borderId="8" xfId="4" applyFont="1" applyBorder="1" applyAlignment="1">
      <alignment horizontal="center" vertical="center" shrinkToFit="1"/>
    </xf>
    <xf numFmtId="0" fontId="4" fillId="0" borderId="8" xfId="3" applyFont="1" applyBorder="1" applyAlignment="1">
      <alignment vertical="center"/>
    </xf>
    <xf numFmtId="43" fontId="4" fillId="0" borderId="8" xfId="4" applyFont="1" applyBorder="1" applyAlignment="1">
      <alignment horizontal="center" vertical="center" shrinkToFit="1"/>
    </xf>
    <xf numFmtId="0" fontId="18" fillId="6" borderId="8" xfId="3" applyFont="1" applyFill="1" applyBorder="1" applyAlignment="1">
      <alignment horizontal="center" vertical="center"/>
    </xf>
    <xf numFmtId="43" fontId="18" fillId="6" borderId="8" xfId="4" applyFont="1" applyFill="1" applyBorder="1" applyAlignment="1">
      <alignment horizontal="center" vertical="center" shrinkToFit="1"/>
    </xf>
    <xf numFmtId="0" fontId="19" fillId="6" borderId="8" xfId="3" applyFont="1" applyFill="1" applyBorder="1" applyAlignment="1">
      <alignment vertical="center"/>
    </xf>
    <xf numFmtId="0" fontId="19" fillId="6" borderId="8" xfId="3" applyFont="1" applyFill="1" applyBorder="1" applyAlignment="1">
      <alignment vertical="center" shrinkToFit="1"/>
    </xf>
    <xf numFmtId="0" fontId="18" fillId="9" borderId="8" xfId="3" applyFont="1" applyFill="1" applyBorder="1" applyAlignment="1">
      <alignment horizontal="center" vertical="center"/>
    </xf>
    <xf numFmtId="43" fontId="18" fillId="9" borderId="8" xfId="4" applyFont="1" applyFill="1" applyBorder="1" applyAlignment="1">
      <alignment horizontal="center" vertical="center" shrinkToFit="1"/>
    </xf>
    <xf numFmtId="0" fontId="4" fillId="0" borderId="0" xfId="3" applyFont="1" applyAlignment="1">
      <alignment vertical="center"/>
    </xf>
    <xf numFmtId="43" fontId="4" fillId="0" borderId="0" xfId="4" applyFont="1" applyAlignment="1">
      <alignment horizontal="center" vertical="center"/>
    </xf>
    <xf numFmtId="43" fontId="13" fillId="0" borderId="7" xfId="4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43" fontId="2" fillId="0" borderId="7" xfId="1" applyFont="1" applyFill="1" applyBorder="1" applyAlignment="1">
      <alignment horizontal="center" vertical="center" wrapText="1"/>
    </xf>
    <xf numFmtId="43" fontId="2" fillId="0" borderId="13" xfId="1" applyFont="1" applyFill="1" applyBorder="1" applyAlignment="1">
      <alignment horizontal="center" vertical="center" wrapText="1"/>
    </xf>
    <xf numFmtId="0" fontId="15" fillId="4" borderId="10" xfId="3" applyFont="1" applyFill="1" applyBorder="1" applyAlignment="1">
      <alignment shrinkToFit="1"/>
    </xf>
    <xf numFmtId="0" fontId="15" fillId="4" borderId="12" xfId="3" applyFont="1" applyFill="1" applyBorder="1" applyAlignment="1">
      <alignment shrinkToFi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187" fontId="13" fillId="0" borderId="10" xfId="2" applyFont="1" applyBorder="1" applyAlignment="1">
      <alignment horizontal="center"/>
    </xf>
    <xf numFmtId="187" fontId="13" fillId="0" borderId="11" xfId="2" applyFont="1" applyBorder="1" applyAlignment="1">
      <alignment horizontal="center"/>
    </xf>
    <xf numFmtId="187" fontId="13" fillId="0" borderId="12" xfId="2" applyFont="1" applyBorder="1" applyAlignment="1">
      <alignment horizontal="center"/>
    </xf>
    <xf numFmtId="0" fontId="18" fillId="0" borderId="7" xfId="3" applyFont="1" applyFill="1" applyBorder="1" applyAlignment="1">
      <alignment horizontal="center" vertical="center" wrapText="1"/>
    </xf>
    <xf numFmtId="0" fontId="18" fillId="0" borderId="13" xfId="3" applyFont="1" applyFill="1" applyBorder="1" applyAlignment="1">
      <alignment horizontal="center" vertical="center" wrapText="1"/>
    </xf>
    <xf numFmtId="43" fontId="13" fillId="0" borderId="10" xfId="4" applyFont="1" applyFill="1" applyBorder="1" applyAlignment="1">
      <alignment horizontal="center"/>
    </xf>
    <xf numFmtId="43" fontId="13" fillId="0" borderId="12" xfId="4" applyFont="1" applyFill="1" applyBorder="1" applyAlignment="1">
      <alignment horizontal="center"/>
    </xf>
    <xf numFmtId="43" fontId="13" fillId="0" borderId="7" xfId="4" applyFont="1" applyFill="1" applyBorder="1" applyAlignment="1">
      <alignment horizontal="center" vertical="center" wrapText="1"/>
    </xf>
    <xf numFmtId="43" fontId="13" fillId="0" borderId="13" xfId="4" applyFont="1" applyFill="1" applyBorder="1" applyAlignment="1">
      <alignment horizontal="center" vertical="center" wrapText="1"/>
    </xf>
    <xf numFmtId="43" fontId="13" fillId="0" borderId="8" xfId="4" applyFont="1" applyFill="1" applyBorder="1" applyAlignment="1">
      <alignment horizontal="center" vertical="center" wrapText="1"/>
    </xf>
    <xf numFmtId="43" fontId="13" fillId="0" borderId="8" xfId="4" applyFont="1" applyFill="1" applyBorder="1" applyAlignment="1">
      <alignment horizontal="center" vertical="center"/>
    </xf>
    <xf numFmtId="43" fontId="13" fillId="0" borderId="3" xfId="4" applyFont="1" applyFill="1" applyBorder="1" applyAlignment="1">
      <alignment horizontal="center" vertical="center"/>
    </xf>
    <xf numFmtId="43" fontId="13" fillId="0" borderId="6" xfId="4" applyFont="1" applyFill="1" applyBorder="1" applyAlignment="1">
      <alignment horizontal="center" vertical="center"/>
    </xf>
  </cellXfs>
  <cellStyles count="5">
    <cellStyle name="Comma" xfId="1" builtinId="3"/>
    <cellStyle name="Comma 2" xfId="2"/>
    <cellStyle name="Comma 2 2" xfId="4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G65"/>
  <sheetViews>
    <sheetView showGridLines="0" tabSelected="1" zoomScale="75" zoomScaleNormal="75" workbookViewId="0">
      <pane xSplit="3" ySplit="6" topLeftCell="D40" activePane="bottomRight" state="frozen"/>
      <selection pane="topRight" activeCell="D1" sqref="D1"/>
      <selection pane="bottomLeft" activeCell="A7" sqref="A7"/>
      <selection pane="bottomRight" activeCell="C48" sqref="C48"/>
    </sheetView>
  </sheetViews>
  <sheetFormatPr defaultRowHeight="24" x14ac:dyDescent="0.55000000000000004"/>
  <cols>
    <col min="1" max="1" width="5.5" style="34" customWidth="1"/>
    <col min="2" max="2" width="40.375" style="35" bestFit="1" customWidth="1"/>
    <col min="3" max="3" width="27.625" style="35" customWidth="1"/>
    <col min="4" max="4" width="16" style="36" customWidth="1"/>
    <col min="5" max="5" width="14.75" style="36" customWidth="1"/>
    <col min="6" max="6" width="16" style="36" bestFit="1" customWidth="1"/>
    <col min="7" max="10" width="14.75" style="1" customWidth="1"/>
    <col min="11" max="11" width="15.625" style="1" customWidth="1"/>
    <col min="12" max="16" width="14.75" style="1" customWidth="1"/>
    <col min="17" max="17" width="16.875" style="1" customWidth="1"/>
    <col min="18" max="23" width="16" style="1" customWidth="1"/>
    <col min="24" max="24" width="19.25" style="1" customWidth="1"/>
    <col min="25" max="25" width="23.5" style="1" customWidth="1"/>
    <col min="26" max="30" width="15.125" style="1" customWidth="1"/>
    <col min="31" max="31" width="14.25" style="1" customWidth="1"/>
    <col min="32" max="32" width="16" style="1" customWidth="1"/>
    <col min="33" max="33" width="14.375" style="1" customWidth="1"/>
    <col min="34" max="35" width="9" style="1" customWidth="1"/>
    <col min="36" max="16384" width="9" style="1"/>
  </cols>
  <sheetData>
    <row r="1" spans="1:33" x14ac:dyDescent="0.55000000000000004">
      <c r="A1" s="110" t="s">
        <v>0</v>
      </c>
      <c r="B1" s="111"/>
      <c r="C1" s="111"/>
      <c r="D1" s="111"/>
      <c r="E1" s="111"/>
      <c r="F1" s="112"/>
      <c r="G1" s="116" t="s">
        <v>1</v>
      </c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8"/>
    </row>
    <row r="2" spans="1:33" x14ac:dyDescent="0.55000000000000004">
      <c r="A2" s="113"/>
      <c r="B2" s="114"/>
      <c r="C2" s="114"/>
      <c r="D2" s="114"/>
      <c r="E2" s="114"/>
      <c r="F2" s="115"/>
      <c r="G2" s="119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1"/>
    </row>
    <row r="3" spans="1:33" s="2" customFormat="1" x14ac:dyDescent="0.55000000000000004">
      <c r="A3" s="102" t="s">
        <v>2</v>
      </c>
      <c r="B3" s="102" t="s">
        <v>3</v>
      </c>
      <c r="C3" s="102" t="s">
        <v>4</v>
      </c>
      <c r="D3" s="123" t="s">
        <v>5</v>
      </c>
      <c r="E3" s="123"/>
      <c r="F3" s="123"/>
      <c r="G3" s="124" t="s">
        <v>6</v>
      </c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</row>
    <row r="4" spans="1:33" s="3" customFormat="1" x14ac:dyDescent="0.55000000000000004">
      <c r="A4" s="122"/>
      <c r="B4" s="122"/>
      <c r="C4" s="122"/>
      <c r="D4" s="125" t="s">
        <v>7</v>
      </c>
      <c r="E4" s="125" t="s">
        <v>8</v>
      </c>
      <c r="F4" s="125" t="s">
        <v>9</v>
      </c>
      <c r="G4" s="109" t="s">
        <v>10</v>
      </c>
      <c r="H4" s="109"/>
      <c r="I4" s="109"/>
      <c r="J4" s="109"/>
      <c r="K4" s="109"/>
      <c r="L4" s="104" t="s">
        <v>11</v>
      </c>
      <c r="M4" s="105"/>
      <c r="N4" s="105"/>
      <c r="O4" s="105"/>
      <c r="P4" s="106"/>
      <c r="Q4" s="102" t="s">
        <v>12</v>
      </c>
      <c r="R4" s="104" t="s">
        <v>13</v>
      </c>
      <c r="S4" s="105"/>
      <c r="T4" s="105"/>
      <c r="U4" s="105"/>
      <c r="V4" s="106"/>
      <c r="W4" s="102" t="s">
        <v>14</v>
      </c>
      <c r="X4" s="102" t="s">
        <v>15</v>
      </c>
      <c r="Y4" s="102" t="s">
        <v>16</v>
      </c>
      <c r="Z4" s="104" t="s">
        <v>17</v>
      </c>
      <c r="AA4" s="105"/>
      <c r="AB4" s="105"/>
      <c r="AC4" s="105"/>
      <c r="AD4" s="106"/>
      <c r="AE4" s="102" t="s">
        <v>18</v>
      </c>
    </row>
    <row r="5" spans="1:33" s="3" customFormat="1" ht="36.75" customHeight="1" x14ac:dyDescent="0.55000000000000004">
      <c r="A5" s="103"/>
      <c r="B5" s="103"/>
      <c r="C5" s="103"/>
      <c r="D5" s="126"/>
      <c r="E5" s="126"/>
      <c r="F5" s="126"/>
      <c r="G5" s="4" t="s">
        <v>19</v>
      </c>
      <c r="H5" s="4" t="s">
        <v>20</v>
      </c>
      <c r="I5" s="4" t="s">
        <v>21</v>
      </c>
      <c r="J5" s="4" t="s">
        <v>22</v>
      </c>
      <c r="K5" s="4" t="s">
        <v>9</v>
      </c>
      <c r="L5" s="4" t="s">
        <v>19</v>
      </c>
      <c r="M5" s="4" t="s">
        <v>20</v>
      </c>
      <c r="N5" s="4" t="s">
        <v>21</v>
      </c>
      <c r="O5" s="4" t="s">
        <v>22</v>
      </c>
      <c r="P5" s="4" t="s">
        <v>9</v>
      </c>
      <c r="Q5" s="103"/>
      <c r="R5" s="4" t="s">
        <v>19</v>
      </c>
      <c r="S5" s="4" t="s">
        <v>20</v>
      </c>
      <c r="T5" s="4" t="s">
        <v>21</v>
      </c>
      <c r="U5" s="4" t="s">
        <v>22</v>
      </c>
      <c r="V5" s="4" t="s">
        <v>9</v>
      </c>
      <c r="W5" s="103"/>
      <c r="X5" s="103"/>
      <c r="Y5" s="103"/>
      <c r="Z5" s="4" t="s">
        <v>19</v>
      </c>
      <c r="AA5" s="4" t="s">
        <v>20</v>
      </c>
      <c r="AB5" s="4" t="s">
        <v>21</v>
      </c>
      <c r="AC5" s="4" t="s">
        <v>22</v>
      </c>
      <c r="AD5" s="4" t="s">
        <v>9</v>
      </c>
      <c r="AE5" s="103"/>
    </row>
    <row r="6" spans="1:33" x14ac:dyDescent="0.55000000000000004">
      <c r="A6" s="5">
        <v>1</v>
      </c>
      <c r="B6" s="6" t="s">
        <v>23</v>
      </c>
      <c r="C6" s="6" t="s">
        <v>24</v>
      </c>
      <c r="D6" s="7">
        <f>56161343.48+5585494.84</f>
        <v>61746838.319999993</v>
      </c>
      <c r="E6" s="7">
        <f>14215934.64+3550030.72+2243918.06</f>
        <v>20009883.419999998</v>
      </c>
      <c r="F6" s="8">
        <f>+D6+E6</f>
        <v>81756721.739999995</v>
      </c>
      <c r="G6" s="7">
        <f>$F6*1643.5/13934.5</f>
        <v>9642769.5417625308</v>
      </c>
      <c r="H6" s="7">
        <f>$F6*3031/13934.5</f>
        <v>17783531.780396856</v>
      </c>
      <c r="I6" s="7">
        <f>$F6*0/13934.5</f>
        <v>0</v>
      </c>
      <c r="J6" s="7">
        <f>$F6*1616/13934.5</f>
        <v>9481421.1009968054</v>
      </c>
      <c r="K6" s="7">
        <f>SUM(G6:J6)</f>
        <v>36907722.423156194</v>
      </c>
      <c r="L6" s="7">
        <f>$F6*1758.5/13934.5</f>
        <v>10317499.384964654</v>
      </c>
      <c r="M6" s="7">
        <f>$F6*0/13934.5</f>
        <v>0</v>
      </c>
      <c r="N6" s="7">
        <f>$F6*0/13934.5</f>
        <v>0</v>
      </c>
      <c r="O6" s="7">
        <f>$F6*264/13934.5</f>
        <v>1548945.0313509633</v>
      </c>
      <c r="P6" s="7">
        <f>SUM(L6:O6)</f>
        <v>11866444.416315617</v>
      </c>
      <c r="Q6" s="7">
        <f>$F6*1277/13934.5</f>
        <v>7492434.8675575005</v>
      </c>
      <c r="R6" s="7">
        <f>$F6*40/13934.5</f>
        <v>234688.64111378233</v>
      </c>
      <c r="S6" s="7">
        <f>$F6*697.5/13934.5</f>
        <v>4092383.179421579</v>
      </c>
      <c r="T6" s="7">
        <f>$F6*18/13934.5</f>
        <v>105609.88850120205</v>
      </c>
      <c r="U6" s="7">
        <f>$F6*34/13934.5</f>
        <v>199485.34494671499</v>
      </c>
      <c r="V6" s="7">
        <f>SUM(R6:U6)</f>
        <v>4632167.0539832786</v>
      </c>
      <c r="W6" s="7">
        <f>$F6*1730/13934.5</f>
        <v>10150283.728171084</v>
      </c>
      <c r="X6" s="7">
        <f>$F6*578/13934.5</f>
        <v>3391250.8640941544</v>
      </c>
      <c r="Y6" s="7">
        <f>$F6*1019.5/13934.5</f>
        <v>5981626.7403875273</v>
      </c>
      <c r="Z6" s="7">
        <f>$F6*149/13934.5</f>
        <v>874215.18814883905</v>
      </c>
      <c r="AA6" s="7">
        <f>$F6*6/13934.5</f>
        <v>35203.296167067347</v>
      </c>
      <c r="AB6" s="7">
        <f>$F6*0/13072</f>
        <v>0</v>
      </c>
      <c r="AC6" s="7">
        <f>$F6*8/13934.5</f>
        <v>46937.728222756465</v>
      </c>
      <c r="AD6" s="7">
        <f>SUM(Z6:AC6)</f>
        <v>956356.21253866283</v>
      </c>
      <c r="AE6" s="7">
        <f>$F6*64.5/13934.5</f>
        <v>378435.43379597401</v>
      </c>
      <c r="AF6" s="9">
        <f>+K6+P6+Q6+V6+W6+X6+Y6+AD6+AE6</f>
        <v>81756721.739999995</v>
      </c>
      <c r="AG6" s="9">
        <f t="shared" ref="AG6:AG45" si="0">+F6-AF6</f>
        <v>0</v>
      </c>
    </row>
    <row r="7" spans="1:33" x14ac:dyDescent="0.55000000000000004">
      <c r="A7" s="10">
        <v>2</v>
      </c>
      <c r="B7" s="11" t="s">
        <v>25</v>
      </c>
      <c r="C7" s="10" t="s">
        <v>26</v>
      </c>
      <c r="D7" s="12">
        <f>1062790.66+258163.14+5600</f>
        <v>1326553.7999999998</v>
      </c>
      <c r="E7" s="12">
        <f>282800+3576842.39+87500+3760736.13+59100+218400+268800+67200</f>
        <v>8321378.5199999996</v>
      </c>
      <c r="F7" s="12">
        <f t="shared" ref="F7:F46" si="1">+D7+E7</f>
        <v>9647932.3200000003</v>
      </c>
      <c r="G7" s="13">
        <f t="shared" ref="G7:G25" si="2">$F7*1643.5/13934.5</f>
        <v>1137922.1908156015</v>
      </c>
      <c r="H7" s="13">
        <f t="shared" ref="H7:H25" si="3">$F7*3031/13934.5</f>
        <v>2098595.7775248485</v>
      </c>
      <c r="I7" s="13">
        <f t="shared" ref="I7:I25" si="4">$F7*0/13934.5</f>
        <v>0</v>
      </c>
      <c r="J7" s="13">
        <f t="shared" ref="J7:J25" si="5">$F7*1616/13934.5</f>
        <v>1118881.8134213644</v>
      </c>
      <c r="K7" s="13">
        <f t="shared" ref="K7:K25" si="6">SUM(G7:J7)</f>
        <v>4355399.7817618139</v>
      </c>
      <c r="L7" s="14">
        <f t="shared" ref="L7:L25" si="7">$F7*1758.5/13934.5</f>
        <v>1217545.5871915033</v>
      </c>
      <c r="M7" s="14">
        <f t="shared" ref="M7:N25" si="8">$F7*0/13934.5</f>
        <v>0</v>
      </c>
      <c r="N7" s="14">
        <f t="shared" si="8"/>
        <v>0</v>
      </c>
      <c r="O7" s="14">
        <f t="shared" ref="O7:O25" si="9">$F7*264/13934.5</f>
        <v>182787.62298467831</v>
      </c>
      <c r="P7" s="14">
        <f t="shared" ref="P7:P25" si="10">SUM(L7:O7)</f>
        <v>1400333.2101761815</v>
      </c>
      <c r="Q7" s="14">
        <f t="shared" ref="Q7:Q25" si="11">$F7*1277/13934.5</f>
        <v>884165.88845240243</v>
      </c>
      <c r="R7" s="14">
        <f t="shared" ref="R7:R25" si="12">$F7*40/13934.5</f>
        <v>27695.094391617928</v>
      </c>
      <c r="S7" s="14">
        <f t="shared" ref="S7:S25" si="13">$F7*697.5/13934.5</f>
        <v>482933.20845383761</v>
      </c>
      <c r="T7" s="14">
        <f t="shared" ref="T7:T25" si="14">$F7*18/13934.5</f>
        <v>12462.792476228067</v>
      </c>
      <c r="U7" s="14">
        <f t="shared" ref="U7:U25" si="15">$F7*34/13934.5</f>
        <v>23540.830232875236</v>
      </c>
      <c r="V7" s="14">
        <f t="shared" ref="V7:V25" si="16">SUM(R7:U7)</f>
        <v>546631.92555455887</v>
      </c>
      <c r="W7" s="14">
        <f t="shared" ref="W7:W25" si="17">$F7*1730/13934.5</f>
        <v>1197812.8324374754</v>
      </c>
      <c r="X7" s="14">
        <f t="shared" ref="X7:X25" si="18">$F7*578/13934.5</f>
        <v>400194.11395887902</v>
      </c>
      <c r="Y7" s="14">
        <f t="shared" ref="Y7:Y25" si="19">$F7*1019.5/13934.5</f>
        <v>705878.71830636193</v>
      </c>
      <c r="Z7" s="14">
        <f t="shared" ref="Z7:Z25" si="20">$F7*149/13934.5</f>
        <v>103164.22660877678</v>
      </c>
      <c r="AA7" s="14">
        <f t="shared" ref="AA7:AA25" si="21">$F7*6/13934.5</f>
        <v>4154.2641587426888</v>
      </c>
      <c r="AB7" s="14">
        <f t="shared" ref="AB7:AB25" si="22">$F7*0/13072</f>
        <v>0</v>
      </c>
      <c r="AC7" s="14">
        <f t="shared" ref="AC7:AC25" si="23">$F7*8/13934.5</f>
        <v>5539.0188783235853</v>
      </c>
      <c r="AD7" s="14">
        <f t="shared" ref="AD7:AD25" si="24">SUM(Z7:AC7)</f>
        <v>112857.50964584305</v>
      </c>
      <c r="AE7" s="14">
        <f t="shared" ref="AE7:AE25" si="25">$F7*64.5/13934.5</f>
        <v>44658.339706483908</v>
      </c>
      <c r="AF7" s="9">
        <f t="shared" ref="AF7:AF45" si="26">+K7+P7+Q7+V7+W7+X7+Y7++AD7+AE7</f>
        <v>9647932.3200000003</v>
      </c>
      <c r="AG7" s="9">
        <f t="shared" si="0"/>
        <v>0</v>
      </c>
    </row>
    <row r="8" spans="1:33" x14ac:dyDescent="0.55000000000000004">
      <c r="A8" s="10">
        <v>3</v>
      </c>
      <c r="B8" s="11" t="s">
        <v>27</v>
      </c>
      <c r="C8" s="10" t="s">
        <v>26</v>
      </c>
      <c r="D8" s="12">
        <f>50990+2170020+172160+20000+332290</f>
        <v>2745460</v>
      </c>
      <c r="E8" s="12">
        <f>7880+1382400+167540</f>
        <v>1557820</v>
      </c>
      <c r="F8" s="12">
        <f t="shared" si="1"/>
        <v>4303280</v>
      </c>
      <c r="G8" s="14">
        <f t="shared" si="2"/>
        <v>507548.93824679754</v>
      </c>
      <c r="H8" s="14">
        <f t="shared" si="3"/>
        <v>936039.44741469016</v>
      </c>
      <c r="I8" s="14">
        <f t="shared" si="4"/>
        <v>0</v>
      </c>
      <c r="J8" s="14">
        <f t="shared" si="5"/>
        <v>499056.33356058702</v>
      </c>
      <c r="K8" s="14">
        <f t="shared" si="6"/>
        <v>1942644.7192220748</v>
      </c>
      <c r="L8" s="14">
        <f t="shared" si="7"/>
        <v>543063.46693458676</v>
      </c>
      <c r="M8" s="14">
        <f t="shared" si="8"/>
        <v>0</v>
      </c>
      <c r="N8" s="14">
        <f t="shared" si="8"/>
        <v>0</v>
      </c>
      <c r="O8" s="14">
        <f t="shared" si="9"/>
        <v>81529.004987620647</v>
      </c>
      <c r="P8" s="14">
        <f t="shared" si="10"/>
        <v>624592.47192220739</v>
      </c>
      <c r="Q8" s="14">
        <f t="shared" si="11"/>
        <v>394365.67942875595</v>
      </c>
      <c r="R8" s="14">
        <f t="shared" si="12"/>
        <v>12352.879543578887</v>
      </c>
      <c r="S8" s="14">
        <f t="shared" si="13"/>
        <v>215403.33704115683</v>
      </c>
      <c r="T8" s="14">
        <f t="shared" si="14"/>
        <v>5558.7957946104989</v>
      </c>
      <c r="U8" s="14">
        <f t="shared" si="15"/>
        <v>10499.947612042053</v>
      </c>
      <c r="V8" s="14">
        <f t="shared" si="16"/>
        <v>243814.95999138826</v>
      </c>
      <c r="W8" s="14">
        <f t="shared" si="17"/>
        <v>534262.04025978688</v>
      </c>
      <c r="X8" s="14">
        <f t="shared" si="18"/>
        <v>178499.10940471492</v>
      </c>
      <c r="Y8" s="14">
        <f t="shared" si="19"/>
        <v>314844.01736696687</v>
      </c>
      <c r="Z8" s="14">
        <f t="shared" si="20"/>
        <v>46014.476299831353</v>
      </c>
      <c r="AA8" s="14">
        <f t="shared" si="21"/>
        <v>1852.931931536833</v>
      </c>
      <c r="AB8" s="14">
        <f t="shared" si="22"/>
        <v>0</v>
      </c>
      <c r="AC8" s="14">
        <f t="shared" si="23"/>
        <v>2470.5759087157776</v>
      </c>
      <c r="AD8" s="14">
        <f t="shared" si="24"/>
        <v>50337.984140083965</v>
      </c>
      <c r="AE8" s="14">
        <f t="shared" si="25"/>
        <v>19919.018264020957</v>
      </c>
      <c r="AF8" s="9">
        <f t="shared" si="26"/>
        <v>4303280</v>
      </c>
      <c r="AG8" s="9">
        <f t="shared" si="0"/>
        <v>0</v>
      </c>
    </row>
    <row r="9" spans="1:33" x14ac:dyDescent="0.55000000000000004">
      <c r="A9" s="10">
        <v>4</v>
      </c>
      <c r="B9" s="11" t="s">
        <v>28</v>
      </c>
      <c r="C9" s="10" t="s">
        <v>26</v>
      </c>
      <c r="D9" s="12">
        <f>1164.28+43498.76+20169.6</f>
        <v>64832.639999999999</v>
      </c>
      <c r="E9" s="12"/>
      <c r="F9" s="12">
        <f t="shared" si="1"/>
        <v>64832.639999999999</v>
      </c>
      <c r="G9" s="14">
        <f t="shared" si="2"/>
        <v>7646.6643108830604</v>
      </c>
      <c r="H9" s="14">
        <f t="shared" si="3"/>
        <v>14102.244920162188</v>
      </c>
      <c r="I9" s="14">
        <f t="shared" si="4"/>
        <v>0</v>
      </c>
      <c r="J9" s="14">
        <f t="shared" si="5"/>
        <v>7518.7158663748251</v>
      </c>
      <c r="K9" s="14">
        <f t="shared" si="6"/>
        <v>29267.625097420074</v>
      </c>
      <c r="L9" s="14">
        <f t="shared" si="7"/>
        <v>8181.7214424629519</v>
      </c>
      <c r="M9" s="14">
        <f t="shared" si="8"/>
        <v>0</v>
      </c>
      <c r="N9" s="14">
        <f t="shared" si="8"/>
        <v>0</v>
      </c>
      <c r="O9" s="14">
        <f t="shared" si="9"/>
        <v>1228.3050672790557</v>
      </c>
      <c r="P9" s="14">
        <f t="shared" si="10"/>
        <v>9410.026509742007</v>
      </c>
      <c r="Q9" s="14">
        <f t="shared" si="11"/>
        <v>5941.4604958914924</v>
      </c>
      <c r="R9" s="14">
        <f t="shared" si="12"/>
        <v>186.1068283756145</v>
      </c>
      <c r="S9" s="14">
        <f t="shared" si="13"/>
        <v>3245.2378197997773</v>
      </c>
      <c r="T9" s="14">
        <f t="shared" si="14"/>
        <v>83.748072769026521</v>
      </c>
      <c r="U9" s="14">
        <f t="shared" si="15"/>
        <v>158.19080411927229</v>
      </c>
      <c r="V9" s="14">
        <f t="shared" si="16"/>
        <v>3673.2835250636904</v>
      </c>
      <c r="W9" s="14">
        <f t="shared" si="17"/>
        <v>8049.1203272453267</v>
      </c>
      <c r="X9" s="14">
        <f t="shared" si="18"/>
        <v>2689.2436700276294</v>
      </c>
      <c r="Y9" s="14">
        <f t="shared" si="19"/>
        <v>4743.397788223474</v>
      </c>
      <c r="Z9" s="14">
        <f t="shared" si="20"/>
        <v>693.24793569916392</v>
      </c>
      <c r="AA9" s="14">
        <f t="shared" si="21"/>
        <v>27.916024256342169</v>
      </c>
      <c r="AB9" s="14">
        <f t="shared" si="22"/>
        <v>0</v>
      </c>
      <c r="AC9" s="14">
        <f t="shared" si="23"/>
        <v>37.221365675122897</v>
      </c>
      <c r="AD9" s="14">
        <f t="shared" si="24"/>
        <v>758.38532563062904</v>
      </c>
      <c r="AE9" s="14">
        <f t="shared" si="25"/>
        <v>300.09726075567835</v>
      </c>
      <c r="AF9" s="9">
        <f t="shared" si="26"/>
        <v>64832.640000000007</v>
      </c>
      <c r="AG9" s="9">
        <f t="shared" si="0"/>
        <v>0</v>
      </c>
    </row>
    <row r="10" spans="1:33" x14ac:dyDescent="0.55000000000000004">
      <c r="A10" s="10">
        <v>5</v>
      </c>
      <c r="B10" s="11" t="s">
        <v>29</v>
      </c>
      <c r="C10" s="10" t="s">
        <v>26</v>
      </c>
      <c r="D10" s="12"/>
      <c r="E10" s="12"/>
      <c r="F10" s="12">
        <f t="shared" si="1"/>
        <v>0</v>
      </c>
      <c r="G10" s="14">
        <f t="shared" si="2"/>
        <v>0</v>
      </c>
      <c r="H10" s="14">
        <f t="shared" si="3"/>
        <v>0</v>
      </c>
      <c r="I10" s="14">
        <f t="shared" si="4"/>
        <v>0</v>
      </c>
      <c r="J10" s="14">
        <f t="shared" si="5"/>
        <v>0</v>
      </c>
      <c r="K10" s="14">
        <f t="shared" si="6"/>
        <v>0</v>
      </c>
      <c r="L10" s="14">
        <f t="shared" si="7"/>
        <v>0</v>
      </c>
      <c r="M10" s="14">
        <f t="shared" si="8"/>
        <v>0</v>
      </c>
      <c r="N10" s="14">
        <f t="shared" si="8"/>
        <v>0</v>
      </c>
      <c r="O10" s="14">
        <f t="shared" si="9"/>
        <v>0</v>
      </c>
      <c r="P10" s="14">
        <f t="shared" si="10"/>
        <v>0</v>
      </c>
      <c r="Q10" s="14">
        <f t="shared" si="11"/>
        <v>0</v>
      </c>
      <c r="R10" s="14">
        <f t="shared" si="12"/>
        <v>0</v>
      </c>
      <c r="S10" s="14">
        <f t="shared" si="13"/>
        <v>0</v>
      </c>
      <c r="T10" s="14">
        <f t="shared" si="14"/>
        <v>0</v>
      </c>
      <c r="U10" s="14">
        <f t="shared" si="15"/>
        <v>0</v>
      </c>
      <c r="V10" s="14">
        <f t="shared" si="16"/>
        <v>0</v>
      </c>
      <c r="W10" s="14">
        <f t="shared" si="17"/>
        <v>0</v>
      </c>
      <c r="X10" s="14">
        <f t="shared" si="18"/>
        <v>0</v>
      </c>
      <c r="Y10" s="14">
        <f t="shared" si="19"/>
        <v>0</v>
      </c>
      <c r="Z10" s="14">
        <f t="shared" si="20"/>
        <v>0</v>
      </c>
      <c r="AA10" s="14">
        <f t="shared" si="21"/>
        <v>0</v>
      </c>
      <c r="AB10" s="14">
        <f t="shared" si="22"/>
        <v>0</v>
      </c>
      <c r="AC10" s="14">
        <f t="shared" si="23"/>
        <v>0</v>
      </c>
      <c r="AD10" s="14">
        <f t="shared" si="24"/>
        <v>0</v>
      </c>
      <c r="AE10" s="14">
        <f t="shared" si="25"/>
        <v>0</v>
      </c>
      <c r="AF10" s="9">
        <f t="shared" si="26"/>
        <v>0</v>
      </c>
      <c r="AG10" s="9">
        <f t="shared" si="0"/>
        <v>0</v>
      </c>
    </row>
    <row r="11" spans="1:33" x14ac:dyDescent="0.55000000000000004">
      <c r="A11" s="10">
        <v>6</v>
      </c>
      <c r="B11" s="11" t="s">
        <v>30</v>
      </c>
      <c r="C11" s="10" t="s">
        <v>26</v>
      </c>
      <c r="D11" s="12"/>
      <c r="E11" s="12">
        <f>689176.77+300271.71+71485</f>
        <v>1060933.48</v>
      </c>
      <c r="F11" s="12">
        <f t="shared" si="1"/>
        <v>1060933.48</v>
      </c>
      <c r="G11" s="14">
        <f t="shared" si="2"/>
        <v>125131.44887724711</v>
      </c>
      <c r="H11" s="14">
        <f t="shared" si="3"/>
        <v>230771.78067960817</v>
      </c>
      <c r="I11" s="14">
        <f t="shared" si="4"/>
        <v>0</v>
      </c>
      <c r="J11" s="14">
        <f t="shared" si="5"/>
        <v>123037.67653521834</v>
      </c>
      <c r="K11" s="14">
        <f t="shared" si="6"/>
        <v>478940.90609207365</v>
      </c>
      <c r="L11" s="14">
        <f t="shared" si="7"/>
        <v>133887.2241257311</v>
      </c>
      <c r="M11" s="14">
        <f t="shared" si="8"/>
        <v>0</v>
      </c>
      <c r="N11" s="14">
        <f t="shared" si="8"/>
        <v>0</v>
      </c>
      <c r="O11" s="14">
        <f t="shared" si="9"/>
        <v>20100.214483476262</v>
      </c>
      <c r="P11" s="14">
        <f t="shared" si="10"/>
        <v>153987.43860920737</v>
      </c>
      <c r="Q11" s="14">
        <f t="shared" si="11"/>
        <v>97227.173846209058</v>
      </c>
      <c r="R11" s="14">
        <f t="shared" si="12"/>
        <v>3045.4870429509492</v>
      </c>
      <c r="S11" s="14">
        <f t="shared" si="13"/>
        <v>53105.680311457174</v>
      </c>
      <c r="T11" s="14">
        <f t="shared" si="14"/>
        <v>1370.4691693279271</v>
      </c>
      <c r="U11" s="14">
        <f t="shared" si="15"/>
        <v>2588.6639865083066</v>
      </c>
      <c r="V11" s="14">
        <f t="shared" si="16"/>
        <v>60110.300510244349</v>
      </c>
      <c r="W11" s="14">
        <f t="shared" si="17"/>
        <v>131717.31460762853</v>
      </c>
      <c r="X11" s="14">
        <f t="shared" si="18"/>
        <v>44007.287770641211</v>
      </c>
      <c r="Y11" s="14">
        <f t="shared" si="19"/>
        <v>77621.851007212303</v>
      </c>
      <c r="Z11" s="14">
        <f t="shared" si="20"/>
        <v>11344.439234992285</v>
      </c>
      <c r="AA11" s="14">
        <f t="shared" si="21"/>
        <v>456.82305644264238</v>
      </c>
      <c r="AB11" s="14">
        <f t="shared" si="22"/>
        <v>0</v>
      </c>
      <c r="AC11" s="14">
        <f t="shared" si="23"/>
        <v>609.09740859018984</v>
      </c>
      <c r="AD11" s="14">
        <f t="shared" si="24"/>
        <v>12410.359700025117</v>
      </c>
      <c r="AE11" s="14">
        <f t="shared" si="25"/>
        <v>4910.8478567584052</v>
      </c>
      <c r="AF11" s="9">
        <f t="shared" si="26"/>
        <v>1060933.48</v>
      </c>
      <c r="AG11" s="9">
        <f t="shared" si="0"/>
        <v>0</v>
      </c>
    </row>
    <row r="12" spans="1:33" x14ac:dyDescent="0.55000000000000004">
      <c r="A12" s="10">
        <v>7</v>
      </c>
      <c r="B12" s="11" t="s">
        <v>31</v>
      </c>
      <c r="C12" s="10" t="s">
        <v>26</v>
      </c>
      <c r="D12" s="12">
        <f>20400+192000</f>
        <v>212400</v>
      </c>
      <c r="E12" s="12">
        <v>26933.33</v>
      </c>
      <c r="F12" s="12">
        <f t="shared" si="1"/>
        <v>239333.33000000002</v>
      </c>
      <c r="G12" s="14">
        <f t="shared" si="2"/>
        <v>28228.090556173527</v>
      </c>
      <c r="H12" s="14">
        <f t="shared" si="3"/>
        <v>52059.228765294771</v>
      </c>
      <c r="I12" s="14">
        <f t="shared" si="4"/>
        <v>0</v>
      </c>
      <c r="J12" s="14">
        <f t="shared" si="5"/>
        <v>27755.761690767522</v>
      </c>
      <c r="K12" s="14">
        <f t="shared" si="6"/>
        <v>108043.08101223582</v>
      </c>
      <c r="L12" s="14">
        <f t="shared" si="7"/>
        <v>30203.283993325917</v>
      </c>
      <c r="M12" s="14">
        <f t="shared" si="8"/>
        <v>0</v>
      </c>
      <c r="N12" s="14">
        <f t="shared" si="8"/>
        <v>0</v>
      </c>
      <c r="O12" s="14">
        <f t="shared" si="9"/>
        <v>4534.3571078976647</v>
      </c>
      <c r="P12" s="14">
        <f t="shared" si="10"/>
        <v>34737.641101223584</v>
      </c>
      <c r="Q12" s="14">
        <f t="shared" si="11"/>
        <v>21933.234949944384</v>
      </c>
      <c r="R12" s="14">
        <f t="shared" si="12"/>
        <v>687.02380422691886</v>
      </c>
      <c r="S12" s="14">
        <f t="shared" si="13"/>
        <v>11979.977586206898</v>
      </c>
      <c r="T12" s="14">
        <f t="shared" si="14"/>
        <v>309.16071190211346</v>
      </c>
      <c r="U12" s="14">
        <f t="shared" si="15"/>
        <v>583.97023359288107</v>
      </c>
      <c r="V12" s="14">
        <f t="shared" si="16"/>
        <v>13560.132335928813</v>
      </c>
      <c r="W12" s="14">
        <f t="shared" si="17"/>
        <v>29713.779532814242</v>
      </c>
      <c r="X12" s="14">
        <f t="shared" si="18"/>
        <v>9927.4939710789768</v>
      </c>
      <c r="Y12" s="14">
        <f t="shared" si="19"/>
        <v>17510.519210233593</v>
      </c>
      <c r="Z12" s="14">
        <f t="shared" si="20"/>
        <v>2559.1636707452726</v>
      </c>
      <c r="AA12" s="14">
        <f t="shared" si="21"/>
        <v>103.05357063403783</v>
      </c>
      <c r="AB12" s="14">
        <f t="shared" si="22"/>
        <v>0</v>
      </c>
      <c r="AC12" s="14">
        <f t="shared" si="23"/>
        <v>137.40476084538378</v>
      </c>
      <c r="AD12" s="14">
        <f t="shared" si="24"/>
        <v>2799.6220022246944</v>
      </c>
      <c r="AE12" s="14">
        <f t="shared" si="25"/>
        <v>1107.8258843159065</v>
      </c>
      <c r="AF12" s="9">
        <f t="shared" si="26"/>
        <v>239333.33000000005</v>
      </c>
      <c r="AG12" s="9">
        <f t="shared" si="0"/>
        <v>0</v>
      </c>
    </row>
    <row r="13" spans="1:33" x14ac:dyDescent="0.55000000000000004">
      <c r="A13" s="10">
        <v>8</v>
      </c>
      <c r="B13" s="11" t="s">
        <v>32</v>
      </c>
      <c r="C13" s="10" t="s">
        <v>26</v>
      </c>
      <c r="D13" s="12">
        <f>1484381.84+304800</f>
        <v>1789181.84</v>
      </c>
      <c r="E13" s="12"/>
      <c r="F13" s="12">
        <f t="shared" si="1"/>
        <v>1789181.84</v>
      </c>
      <c r="G13" s="14">
        <f t="shared" si="2"/>
        <v>211024.46116042914</v>
      </c>
      <c r="H13" s="14">
        <f t="shared" si="3"/>
        <v>389178.66855933116</v>
      </c>
      <c r="I13" s="14">
        <f t="shared" si="4"/>
        <v>0</v>
      </c>
      <c r="J13" s="14">
        <f t="shared" si="5"/>
        <v>207493.47686964012</v>
      </c>
      <c r="K13" s="14">
        <f t="shared" si="6"/>
        <v>807696.60658940044</v>
      </c>
      <c r="L13" s="14">
        <f t="shared" si="7"/>
        <v>225790.39546736519</v>
      </c>
      <c r="M13" s="14">
        <f t="shared" si="8"/>
        <v>0</v>
      </c>
      <c r="N13" s="14">
        <f t="shared" si="8"/>
        <v>0</v>
      </c>
      <c r="O13" s="14">
        <f t="shared" si="9"/>
        <v>33897.449191574873</v>
      </c>
      <c r="P13" s="14">
        <f t="shared" si="10"/>
        <v>259687.84465894007</v>
      </c>
      <c r="Q13" s="14">
        <f t="shared" si="11"/>
        <v>163966.07052136786</v>
      </c>
      <c r="R13" s="14">
        <f t="shared" si="12"/>
        <v>5135.9771502386175</v>
      </c>
      <c r="S13" s="14">
        <f t="shared" si="13"/>
        <v>89558.601557285874</v>
      </c>
      <c r="T13" s="14">
        <f t="shared" si="14"/>
        <v>2311.1897176073776</v>
      </c>
      <c r="U13" s="14">
        <f t="shared" si="15"/>
        <v>4365.5805777028245</v>
      </c>
      <c r="V13" s="14">
        <f t="shared" si="16"/>
        <v>101371.3490028347</v>
      </c>
      <c r="W13" s="14">
        <f t="shared" si="17"/>
        <v>222131.01174782019</v>
      </c>
      <c r="X13" s="14">
        <f t="shared" si="18"/>
        <v>74214.869820948021</v>
      </c>
      <c r="Y13" s="14">
        <f t="shared" si="19"/>
        <v>130903.21761670674</v>
      </c>
      <c r="Z13" s="14">
        <f t="shared" si="20"/>
        <v>19131.514884638847</v>
      </c>
      <c r="AA13" s="14">
        <f t="shared" si="21"/>
        <v>770.39657253579253</v>
      </c>
      <c r="AB13" s="14">
        <f t="shared" si="22"/>
        <v>0</v>
      </c>
      <c r="AC13" s="14">
        <f t="shared" si="23"/>
        <v>1027.1954300477232</v>
      </c>
      <c r="AD13" s="14">
        <f t="shared" si="24"/>
        <v>20929.106887222362</v>
      </c>
      <c r="AE13" s="14">
        <f t="shared" si="25"/>
        <v>8281.7631547597703</v>
      </c>
      <c r="AF13" s="9">
        <f t="shared" si="26"/>
        <v>1789181.84</v>
      </c>
      <c r="AG13" s="9">
        <f t="shared" si="0"/>
        <v>0</v>
      </c>
    </row>
    <row r="14" spans="1:33" x14ac:dyDescent="0.55000000000000004">
      <c r="A14" s="10">
        <v>9</v>
      </c>
      <c r="B14" s="11" t="s">
        <v>33</v>
      </c>
      <c r="C14" s="10" t="s">
        <v>26</v>
      </c>
      <c r="D14" s="12"/>
      <c r="E14" s="12">
        <v>230000</v>
      </c>
      <c r="F14" s="12">
        <f t="shared" si="1"/>
        <v>230000</v>
      </c>
      <c r="G14" s="14">
        <f t="shared" si="2"/>
        <v>27127.274032078654</v>
      </c>
      <c r="H14" s="14">
        <f t="shared" si="3"/>
        <v>50029.064552011194</v>
      </c>
      <c r="I14" s="14">
        <f t="shared" si="4"/>
        <v>0</v>
      </c>
      <c r="J14" s="14">
        <f t="shared" si="5"/>
        <v>26673.364670422332</v>
      </c>
      <c r="K14" s="14">
        <f t="shared" si="6"/>
        <v>103829.70325451219</v>
      </c>
      <c r="L14" s="14">
        <f t="shared" si="7"/>
        <v>29025.440453550538</v>
      </c>
      <c r="M14" s="14">
        <f t="shared" si="8"/>
        <v>0</v>
      </c>
      <c r="N14" s="14">
        <f t="shared" si="8"/>
        <v>0</v>
      </c>
      <c r="O14" s="14">
        <f t="shared" si="9"/>
        <v>4357.5298719006778</v>
      </c>
      <c r="P14" s="14">
        <f t="shared" si="10"/>
        <v>33382.970325451213</v>
      </c>
      <c r="Q14" s="14">
        <f t="shared" si="11"/>
        <v>21077.900175822597</v>
      </c>
      <c r="R14" s="14">
        <f t="shared" si="12"/>
        <v>660.23179877283007</v>
      </c>
      <c r="S14" s="14">
        <f t="shared" si="13"/>
        <v>11512.791991101223</v>
      </c>
      <c r="T14" s="14">
        <f t="shared" si="14"/>
        <v>297.10430944777352</v>
      </c>
      <c r="U14" s="14">
        <f t="shared" si="15"/>
        <v>561.19702895690557</v>
      </c>
      <c r="V14" s="14">
        <f t="shared" si="16"/>
        <v>13031.325128278731</v>
      </c>
      <c r="W14" s="14">
        <f t="shared" si="17"/>
        <v>28555.025296924898</v>
      </c>
      <c r="X14" s="14">
        <f t="shared" si="18"/>
        <v>9540.3494922673945</v>
      </c>
      <c r="Y14" s="14">
        <f t="shared" si="19"/>
        <v>16827.657971222507</v>
      </c>
      <c r="Z14" s="14">
        <f t="shared" si="20"/>
        <v>2459.363450428792</v>
      </c>
      <c r="AA14" s="14">
        <f t="shared" si="21"/>
        <v>99.034769815924506</v>
      </c>
      <c r="AB14" s="14">
        <f t="shared" si="22"/>
        <v>0</v>
      </c>
      <c r="AC14" s="14">
        <f t="shared" si="23"/>
        <v>132.046359754566</v>
      </c>
      <c r="AD14" s="14">
        <f t="shared" si="24"/>
        <v>2690.4445799992823</v>
      </c>
      <c r="AE14" s="14">
        <f t="shared" si="25"/>
        <v>1064.6237755211885</v>
      </c>
      <c r="AF14" s="9">
        <f t="shared" si="26"/>
        <v>229999.99999999997</v>
      </c>
      <c r="AG14" s="9">
        <f t="shared" si="0"/>
        <v>0</v>
      </c>
    </row>
    <row r="15" spans="1:33" x14ac:dyDescent="0.55000000000000004">
      <c r="A15" s="10">
        <v>10</v>
      </c>
      <c r="B15" s="11" t="s">
        <v>34</v>
      </c>
      <c r="C15" s="10" t="s">
        <v>26</v>
      </c>
      <c r="D15" s="12">
        <f>653975+722250+77950+205080+203800+500850+39965+40600</f>
        <v>2444470</v>
      </c>
      <c r="E15" s="12">
        <f>421925+1240150+236350</f>
        <v>1898425</v>
      </c>
      <c r="F15" s="12">
        <f t="shared" si="1"/>
        <v>4342895</v>
      </c>
      <c r="G15" s="14">
        <f t="shared" si="2"/>
        <v>512221.31633714878</v>
      </c>
      <c r="H15" s="14">
        <f t="shared" si="3"/>
        <v>944656.40998959413</v>
      </c>
      <c r="I15" s="14">
        <f t="shared" si="4"/>
        <v>0</v>
      </c>
      <c r="J15" s="14">
        <f t="shared" si="5"/>
        <v>503650.53069719044</v>
      </c>
      <c r="K15" s="14">
        <f t="shared" si="6"/>
        <v>1960528.2570239333</v>
      </c>
      <c r="L15" s="14">
        <f t="shared" si="7"/>
        <v>548062.7835587929</v>
      </c>
      <c r="M15" s="14">
        <f t="shared" si="8"/>
        <v>0</v>
      </c>
      <c r="N15" s="14">
        <f t="shared" si="8"/>
        <v>0</v>
      </c>
      <c r="O15" s="14">
        <f t="shared" si="9"/>
        <v>82279.542143600411</v>
      </c>
      <c r="P15" s="14">
        <f t="shared" si="10"/>
        <v>630342.32570239331</v>
      </c>
      <c r="Q15" s="14">
        <f t="shared" si="11"/>
        <v>397996.11862643081</v>
      </c>
      <c r="R15" s="14">
        <f t="shared" si="12"/>
        <v>12466.597294484911</v>
      </c>
      <c r="S15" s="14">
        <f t="shared" si="13"/>
        <v>217386.29032258064</v>
      </c>
      <c r="T15" s="14">
        <f t="shared" si="14"/>
        <v>5609.96878251821</v>
      </c>
      <c r="U15" s="14">
        <f t="shared" si="15"/>
        <v>10596.607700312175</v>
      </c>
      <c r="V15" s="14">
        <f t="shared" si="16"/>
        <v>246059.46409989591</v>
      </c>
      <c r="W15" s="14">
        <f t="shared" si="17"/>
        <v>539180.33298647241</v>
      </c>
      <c r="X15" s="14">
        <f t="shared" si="18"/>
        <v>180142.33090530697</v>
      </c>
      <c r="Y15" s="14">
        <f t="shared" si="19"/>
        <v>317742.39854318416</v>
      </c>
      <c r="Z15" s="14">
        <f t="shared" si="20"/>
        <v>46438.074921956293</v>
      </c>
      <c r="AA15" s="14">
        <f t="shared" si="21"/>
        <v>1869.9895941727368</v>
      </c>
      <c r="AB15" s="14">
        <f t="shared" si="22"/>
        <v>0</v>
      </c>
      <c r="AC15" s="14">
        <f t="shared" si="23"/>
        <v>2493.3194588969823</v>
      </c>
      <c r="AD15" s="14">
        <f t="shared" si="24"/>
        <v>50801.383975026016</v>
      </c>
      <c r="AE15" s="14">
        <f t="shared" si="25"/>
        <v>20102.38813735692</v>
      </c>
      <c r="AF15" s="9">
        <f t="shared" si="26"/>
        <v>4342895.0000000009</v>
      </c>
      <c r="AG15" s="9">
        <f t="shared" si="0"/>
        <v>0</v>
      </c>
    </row>
    <row r="16" spans="1:33" x14ac:dyDescent="0.55000000000000004">
      <c r="A16" s="10">
        <v>11</v>
      </c>
      <c r="B16" s="11" t="s">
        <v>35</v>
      </c>
      <c r="C16" s="10" t="s">
        <v>26</v>
      </c>
      <c r="D16" s="12">
        <f>836045+2786185+562350</f>
        <v>4184580</v>
      </c>
      <c r="E16" s="12"/>
      <c r="F16" s="12">
        <f t="shared" si="1"/>
        <v>4184580</v>
      </c>
      <c r="G16" s="14">
        <f t="shared" si="2"/>
        <v>493548.90595285082</v>
      </c>
      <c r="H16" s="14">
        <f t="shared" si="3"/>
        <v>910220.09975241311</v>
      </c>
      <c r="I16" s="14">
        <f t="shared" si="4"/>
        <v>0</v>
      </c>
      <c r="J16" s="14">
        <f t="shared" si="5"/>
        <v>485290.55796763429</v>
      </c>
      <c r="K16" s="14">
        <f t="shared" si="6"/>
        <v>1889059.5636728983</v>
      </c>
      <c r="L16" s="14">
        <f t="shared" si="7"/>
        <v>528083.81570921093</v>
      </c>
      <c r="M16" s="14">
        <f t="shared" si="8"/>
        <v>0</v>
      </c>
      <c r="N16" s="14">
        <f t="shared" si="8"/>
        <v>0</v>
      </c>
      <c r="O16" s="14">
        <f t="shared" si="9"/>
        <v>79280.140658078875</v>
      </c>
      <c r="P16" s="14">
        <f t="shared" si="10"/>
        <v>607363.95636728976</v>
      </c>
      <c r="Q16" s="14">
        <f t="shared" si="11"/>
        <v>383487.65007714665</v>
      </c>
      <c r="R16" s="14">
        <f t="shared" si="12"/>
        <v>12012.142523951345</v>
      </c>
      <c r="S16" s="14">
        <f t="shared" si="13"/>
        <v>209461.73526140157</v>
      </c>
      <c r="T16" s="14">
        <f t="shared" si="14"/>
        <v>5405.4641357781047</v>
      </c>
      <c r="U16" s="14">
        <f t="shared" si="15"/>
        <v>10210.321145358643</v>
      </c>
      <c r="V16" s="14">
        <f t="shared" si="16"/>
        <v>237089.66306648965</v>
      </c>
      <c r="W16" s="14">
        <f t="shared" si="17"/>
        <v>519525.16416089563</v>
      </c>
      <c r="X16" s="14">
        <f t="shared" si="18"/>
        <v>173575.45947109692</v>
      </c>
      <c r="Y16" s="14">
        <f t="shared" si="19"/>
        <v>306159.4825792099</v>
      </c>
      <c r="Z16" s="14">
        <f t="shared" si="20"/>
        <v>44745.230901718758</v>
      </c>
      <c r="AA16" s="14">
        <f t="shared" si="21"/>
        <v>1801.8213785927016</v>
      </c>
      <c r="AB16" s="14">
        <f t="shared" si="22"/>
        <v>0</v>
      </c>
      <c r="AC16" s="14">
        <f t="shared" si="23"/>
        <v>2402.4285047902686</v>
      </c>
      <c r="AD16" s="14">
        <f t="shared" si="24"/>
        <v>48949.480785101725</v>
      </c>
      <c r="AE16" s="14">
        <f t="shared" si="25"/>
        <v>19369.579819871542</v>
      </c>
      <c r="AF16" s="9">
        <f t="shared" si="26"/>
        <v>4184579.9999999995</v>
      </c>
      <c r="AG16" s="9">
        <f t="shared" si="0"/>
        <v>0</v>
      </c>
    </row>
    <row r="17" spans="1:33" x14ac:dyDescent="0.55000000000000004">
      <c r="A17" s="10"/>
      <c r="B17" s="15" t="s">
        <v>36</v>
      </c>
      <c r="C17" s="16" t="s">
        <v>26</v>
      </c>
      <c r="D17" s="12"/>
      <c r="E17" s="12"/>
      <c r="F17" s="12">
        <f t="shared" si="1"/>
        <v>0</v>
      </c>
      <c r="G17" s="14">
        <f t="shared" si="2"/>
        <v>0</v>
      </c>
      <c r="H17" s="14">
        <f t="shared" si="3"/>
        <v>0</v>
      </c>
      <c r="I17" s="14">
        <f t="shared" si="4"/>
        <v>0</v>
      </c>
      <c r="J17" s="14">
        <f t="shared" si="5"/>
        <v>0</v>
      </c>
      <c r="K17" s="14">
        <f t="shared" si="6"/>
        <v>0</v>
      </c>
      <c r="L17" s="14">
        <f t="shared" si="7"/>
        <v>0</v>
      </c>
      <c r="M17" s="14">
        <f t="shared" si="8"/>
        <v>0</v>
      </c>
      <c r="N17" s="14">
        <f t="shared" si="8"/>
        <v>0</v>
      </c>
      <c r="O17" s="14">
        <f t="shared" si="9"/>
        <v>0</v>
      </c>
      <c r="P17" s="14">
        <f t="shared" si="10"/>
        <v>0</v>
      </c>
      <c r="Q17" s="14">
        <f t="shared" si="11"/>
        <v>0</v>
      </c>
      <c r="R17" s="14">
        <f t="shared" si="12"/>
        <v>0</v>
      </c>
      <c r="S17" s="14">
        <f t="shared" si="13"/>
        <v>0</v>
      </c>
      <c r="T17" s="14">
        <f t="shared" si="14"/>
        <v>0</v>
      </c>
      <c r="U17" s="14">
        <f t="shared" si="15"/>
        <v>0</v>
      </c>
      <c r="V17" s="14">
        <f t="shared" si="16"/>
        <v>0</v>
      </c>
      <c r="W17" s="14">
        <f t="shared" si="17"/>
        <v>0</v>
      </c>
      <c r="X17" s="14">
        <f t="shared" si="18"/>
        <v>0</v>
      </c>
      <c r="Y17" s="14">
        <f t="shared" si="19"/>
        <v>0</v>
      </c>
      <c r="Z17" s="14">
        <f t="shared" si="20"/>
        <v>0</v>
      </c>
      <c r="AA17" s="14">
        <f t="shared" si="21"/>
        <v>0</v>
      </c>
      <c r="AB17" s="14">
        <f t="shared" si="22"/>
        <v>0</v>
      </c>
      <c r="AC17" s="14">
        <f t="shared" si="23"/>
        <v>0</v>
      </c>
      <c r="AD17" s="14">
        <f t="shared" si="24"/>
        <v>0</v>
      </c>
      <c r="AE17" s="14">
        <f t="shared" si="25"/>
        <v>0</v>
      </c>
      <c r="AF17" s="9">
        <f t="shared" si="26"/>
        <v>0</v>
      </c>
      <c r="AG17" s="9">
        <f t="shared" si="0"/>
        <v>0</v>
      </c>
    </row>
    <row r="18" spans="1:33" x14ac:dyDescent="0.55000000000000004">
      <c r="A18" s="10">
        <v>12</v>
      </c>
      <c r="B18" s="11" t="s">
        <v>37</v>
      </c>
      <c r="C18" s="10" t="s">
        <v>26</v>
      </c>
      <c r="D18" s="12">
        <f>25000+1442990.66+258163.14+16800</f>
        <v>1742953.7999999998</v>
      </c>
      <c r="E18" s="12"/>
      <c r="F18" s="12">
        <f t="shared" si="1"/>
        <v>1742953.7999999998</v>
      </c>
      <c r="G18" s="14">
        <f t="shared" si="2"/>
        <v>205572.11025153394</v>
      </c>
      <c r="H18" s="14">
        <f t="shared" si="3"/>
        <v>379123.2529190139</v>
      </c>
      <c r="I18" s="14">
        <f t="shared" si="4"/>
        <v>0</v>
      </c>
      <c r="J18" s="14">
        <f t="shared" si="5"/>
        <v>202132.35787434064</v>
      </c>
      <c r="K18" s="14">
        <f t="shared" si="6"/>
        <v>786827.72104488849</v>
      </c>
      <c r="L18" s="14">
        <f t="shared" si="7"/>
        <v>219956.52928343319</v>
      </c>
      <c r="M18" s="14">
        <f t="shared" si="8"/>
        <v>0</v>
      </c>
      <c r="N18" s="14">
        <f t="shared" si="8"/>
        <v>0</v>
      </c>
      <c r="O18" s="14">
        <f t="shared" si="9"/>
        <v>33021.622821055651</v>
      </c>
      <c r="P18" s="14">
        <f t="shared" si="10"/>
        <v>252978.15210448884</v>
      </c>
      <c r="Q18" s="14">
        <f t="shared" si="11"/>
        <v>159729.59220639418</v>
      </c>
      <c r="R18" s="14">
        <f t="shared" si="12"/>
        <v>5003.2761850084325</v>
      </c>
      <c r="S18" s="14">
        <f t="shared" si="13"/>
        <v>87244.628476084516</v>
      </c>
      <c r="T18" s="14">
        <f t="shared" si="14"/>
        <v>2251.4742832537945</v>
      </c>
      <c r="U18" s="14">
        <f t="shared" si="15"/>
        <v>4252.7847572571673</v>
      </c>
      <c r="V18" s="14">
        <f t="shared" si="16"/>
        <v>98752.163701603902</v>
      </c>
      <c r="W18" s="14">
        <f t="shared" si="17"/>
        <v>216391.69500161466</v>
      </c>
      <c r="X18" s="14">
        <f t="shared" si="18"/>
        <v>72297.340873371839</v>
      </c>
      <c r="Y18" s="14">
        <f t="shared" si="19"/>
        <v>127521.00176540241</v>
      </c>
      <c r="Z18" s="14">
        <f t="shared" si="20"/>
        <v>18637.203789156407</v>
      </c>
      <c r="AA18" s="14">
        <f t="shared" si="21"/>
        <v>750.49142775126472</v>
      </c>
      <c r="AB18" s="14">
        <f t="shared" si="22"/>
        <v>0</v>
      </c>
      <c r="AC18" s="14">
        <f t="shared" si="23"/>
        <v>1000.6552370016864</v>
      </c>
      <c r="AD18" s="14">
        <f t="shared" si="24"/>
        <v>20388.350453909359</v>
      </c>
      <c r="AE18" s="14">
        <f t="shared" si="25"/>
        <v>8067.7828483260964</v>
      </c>
      <c r="AF18" s="9">
        <f t="shared" si="26"/>
        <v>1742953.7999999998</v>
      </c>
      <c r="AG18" s="9">
        <f t="shared" si="0"/>
        <v>0</v>
      </c>
    </row>
    <row r="19" spans="1:33" x14ac:dyDescent="0.55000000000000004">
      <c r="A19" s="10">
        <v>13</v>
      </c>
      <c r="B19" s="11" t="s">
        <v>38</v>
      </c>
      <c r="C19" s="10" t="s">
        <v>26</v>
      </c>
      <c r="D19" s="12">
        <f>121456+33000</f>
        <v>154456</v>
      </c>
      <c r="E19" s="12">
        <f>7850+550902+117641+170764+181412</f>
        <v>1028569</v>
      </c>
      <c r="F19" s="12">
        <f t="shared" si="1"/>
        <v>1183025</v>
      </c>
      <c r="G19" s="14">
        <f t="shared" si="2"/>
        <v>139531.49287739064</v>
      </c>
      <c r="H19" s="14">
        <f t="shared" si="3"/>
        <v>257328.84387670888</v>
      </c>
      <c r="I19" s="14">
        <f t="shared" si="4"/>
        <v>0</v>
      </c>
      <c r="J19" s="14">
        <f t="shared" si="5"/>
        <v>137196.7706053321</v>
      </c>
      <c r="K19" s="14">
        <f t="shared" si="6"/>
        <v>534057.10735943168</v>
      </c>
      <c r="L19" s="14">
        <f t="shared" si="7"/>
        <v>149294.87692418098</v>
      </c>
      <c r="M19" s="14">
        <f t="shared" si="8"/>
        <v>0</v>
      </c>
      <c r="N19" s="14">
        <f t="shared" si="8"/>
        <v>0</v>
      </c>
      <c r="O19" s="14">
        <f t="shared" si="9"/>
        <v>22413.333811762172</v>
      </c>
      <c r="P19" s="14">
        <f t="shared" si="10"/>
        <v>171708.21073594314</v>
      </c>
      <c r="Q19" s="14">
        <f t="shared" si="11"/>
        <v>108416.0124152284</v>
      </c>
      <c r="R19" s="14">
        <f t="shared" si="12"/>
        <v>3395.9596684488142</v>
      </c>
      <c r="S19" s="14">
        <f t="shared" si="13"/>
        <v>59217.046718576195</v>
      </c>
      <c r="T19" s="14">
        <f t="shared" si="14"/>
        <v>1528.1818508019664</v>
      </c>
      <c r="U19" s="14">
        <f t="shared" si="15"/>
        <v>2886.5657181814918</v>
      </c>
      <c r="V19" s="14">
        <f t="shared" si="16"/>
        <v>67027.75395600847</v>
      </c>
      <c r="W19" s="14">
        <f t="shared" si="17"/>
        <v>146875.2556604112</v>
      </c>
      <c r="X19" s="14">
        <f t="shared" si="18"/>
        <v>49071.617209085365</v>
      </c>
      <c r="Y19" s="14">
        <f t="shared" si="19"/>
        <v>86554.522049589155</v>
      </c>
      <c r="Z19" s="14">
        <f t="shared" si="20"/>
        <v>12649.949764971832</v>
      </c>
      <c r="AA19" s="14">
        <f t="shared" si="21"/>
        <v>509.39395026732211</v>
      </c>
      <c r="AB19" s="14">
        <f t="shared" si="22"/>
        <v>0</v>
      </c>
      <c r="AC19" s="14">
        <f t="shared" si="23"/>
        <v>679.19193368976278</v>
      </c>
      <c r="AD19" s="14">
        <f t="shared" si="24"/>
        <v>13838.535648928917</v>
      </c>
      <c r="AE19" s="14">
        <f t="shared" si="25"/>
        <v>5475.9849653737128</v>
      </c>
      <c r="AF19" s="9">
        <f t="shared" si="26"/>
        <v>1183025</v>
      </c>
      <c r="AG19" s="9">
        <f t="shared" si="0"/>
        <v>0</v>
      </c>
    </row>
    <row r="20" spans="1:33" x14ac:dyDescent="0.55000000000000004">
      <c r="A20" s="10">
        <v>14</v>
      </c>
      <c r="B20" s="11" t="s">
        <v>39</v>
      </c>
      <c r="C20" s="10" t="s">
        <v>26</v>
      </c>
      <c r="D20" s="12">
        <f>205700+116227+1287318.82+19135+8306214+116040+7564165.37+252014+1854326.08+175539.31+450000+599470+886967</f>
        <v>21833116.580000002</v>
      </c>
      <c r="E20" s="12">
        <f>21000+4518000</f>
        <v>4539000</v>
      </c>
      <c r="F20" s="12">
        <f t="shared" si="1"/>
        <v>26372116.580000002</v>
      </c>
      <c r="G20" s="14">
        <f t="shared" si="2"/>
        <v>3110450.5794416736</v>
      </c>
      <c r="H20" s="14">
        <f t="shared" si="3"/>
        <v>5736401.4032781953</v>
      </c>
      <c r="I20" s="14">
        <f t="shared" si="4"/>
        <v>0</v>
      </c>
      <c r="J20" s="14">
        <f t="shared" si="5"/>
        <v>3058404.7072575269</v>
      </c>
      <c r="K20" s="14">
        <f t="shared" si="6"/>
        <v>11905256.689977396</v>
      </c>
      <c r="L20" s="14">
        <f t="shared" si="7"/>
        <v>3328096.9540299256</v>
      </c>
      <c r="M20" s="14">
        <f t="shared" si="8"/>
        <v>0</v>
      </c>
      <c r="N20" s="14">
        <f t="shared" si="8"/>
        <v>0</v>
      </c>
      <c r="O20" s="14">
        <f t="shared" si="9"/>
        <v>499640.37296781375</v>
      </c>
      <c r="P20" s="14">
        <f t="shared" si="10"/>
        <v>3827737.3269977393</v>
      </c>
      <c r="Q20" s="14">
        <f t="shared" si="11"/>
        <v>2416821.0465147658</v>
      </c>
      <c r="R20" s="14">
        <f t="shared" si="12"/>
        <v>75703.086813305112</v>
      </c>
      <c r="S20" s="14">
        <f t="shared" si="13"/>
        <v>1320072.576307008</v>
      </c>
      <c r="T20" s="14">
        <f t="shared" si="14"/>
        <v>34066.3890659873</v>
      </c>
      <c r="U20" s="14">
        <f t="shared" si="15"/>
        <v>64347.623791309343</v>
      </c>
      <c r="V20" s="14">
        <f t="shared" si="16"/>
        <v>1494189.6759776096</v>
      </c>
      <c r="W20" s="14">
        <f t="shared" si="17"/>
        <v>3274158.5046754461</v>
      </c>
      <c r="X20" s="14">
        <f t="shared" si="18"/>
        <v>1093909.6044522589</v>
      </c>
      <c r="Y20" s="14">
        <f t="shared" si="19"/>
        <v>1929482.4251541139</v>
      </c>
      <c r="Z20" s="14">
        <f t="shared" si="20"/>
        <v>281993.99837956153</v>
      </c>
      <c r="AA20" s="14">
        <f t="shared" si="21"/>
        <v>11355.463021995767</v>
      </c>
      <c r="AB20" s="14">
        <f t="shared" si="22"/>
        <v>0</v>
      </c>
      <c r="AC20" s="14">
        <f t="shared" si="23"/>
        <v>15140.617362661022</v>
      </c>
      <c r="AD20" s="14">
        <f t="shared" si="24"/>
        <v>308490.07876421831</v>
      </c>
      <c r="AE20" s="14">
        <f t="shared" si="25"/>
        <v>122071.22748645449</v>
      </c>
      <c r="AF20" s="9">
        <f t="shared" si="26"/>
        <v>26372116.580000002</v>
      </c>
      <c r="AG20" s="9">
        <f t="shared" si="0"/>
        <v>0</v>
      </c>
    </row>
    <row r="21" spans="1:33" x14ac:dyDescent="0.55000000000000004">
      <c r="A21" s="10">
        <v>15</v>
      </c>
      <c r="B21" s="11" t="s">
        <v>40</v>
      </c>
      <c r="C21" s="10" t="s">
        <v>26</v>
      </c>
      <c r="D21" s="12">
        <f>17280+85965+51060+39840+5520+7520+104130</f>
        <v>311315</v>
      </c>
      <c r="E21" s="12">
        <v>259186</v>
      </c>
      <c r="F21" s="12">
        <f t="shared" si="1"/>
        <v>570501</v>
      </c>
      <c r="G21" s="14">
        <f t="shared" si="2"/>
        <v>67287.552011195236</v>
      </c>
      <c r="H21" s="14">
        <f t="shared" si="3"/>
        <v>124094.04937385625</v>
      </c>
      <c r="I21" s="14">
        <f t="shared" si="4"/>
        <v>0</v>
      </c>
      <c r="J21" s="14">
        <f t="shared" si="5"/>
        <v>66161.657468872218</v>
      </c>
      <c r="K21" s="14">
        <f t="shared" si="6"/>
        <v>257543.2588539237</v>
      </c>
      <c r="L21" s="14">
        <f t="shared" si="7"/>
        <v>71995.838279091462</v>
      </c>
      <c r="M21" s="14">
        <f t="shared" si="8"/>
        <v>0</v>
      </c>
      <c r="N21" s="14">
        <f t="shared" si="8"/>
        <v>0</v>
      </c>
      <c r="O21" s="14">
        <f t="shared" si="9"/>
        <v>10808.587606300907</v>
      </c>
      <c r="P21" s="14">
        <f t="shared" si="10"/>
        <v>82804.425885392367</v>
      </c>
      <c r="Q21" s="14">
        <f t="shared" si="11"/>
        <v>52282.448383508556</v>
      </c>
      <c r="R21" s="14">
        <f t="shared" si="12"/>
        <v>1637.664788833471</v>
      </c>
      <c r="S21" s="14">
        <f t="shared" si="13"/>
        <v>28556.779755283649</v>
      </c>
      <c r="T21" s="14">
        <f t="shared" si="14"/>
        <v>736.9491549750619</v>
      </c>
      <c r="U21" s="14">
        <f t="shared" si="15"/>
        <v>1392.0150705084502</v>
      </c>
      <c r="V21" s="14">
        <f t="shared" si="16"/>
        <v>32323.408769600628</v>
      </c>
      <c r="W21" s="14">
        <f t="shared" si="17"/>
        <v>70829.00211704761</v>
      </c>
      <c r="X21" s="14">
        <f t="shared" si="18"/>
        <v>23664.256198643656</v>
      </c>
      <c r="Y21" s="14">
        <f t="shared" si="19"/>
        <v>41739.981305393092</v>
      </c>
      <c r="Z21" s="14">
        <f t="shared" si="20"/>
        <v>6100.301338404679</v>
      </c>
      <c r="AA21" s="14">
        <f t="shared" si="21"/>
        <v>245.64971832502064</v>
      </c>
      <c r="AB21" s="14">
        <f t="shared" si="22"/>
        <v>0</v>
      </c>
      <c r="AC21" s="14">
        <f t="shared" si="23"/>
        <v>327.53295776669415</v>
      </c>
      <c r="AD21" s="14">
        <f t="shared" si="24"/>
        <v>6673.4840144963937</v>
      </c>
      <c r="AE21" s="14">
        <f t="shared" si="25"/>
        <v>2640.734471993972</v>
      </c>
      <c r="AF21" s="9">
        <f t="shared" si="26"/>
        <v>570501</v>
      </c>
      <c r="AG21" s="9">
        <f t="shared" si="0"/>
        <v>0</v>
      </c>
    </row>
    <row r="22" spans="1:33" x14ac:dyDescent="0.55000000000000004">
      <c r="A22" s="10">
        <v>16</v>
      </c>
      <c r="B22" s="11" t="s">
        <v>41</v>
      </c>
      <c r="C22" s="10" t="s">
        <v>26</v>
      </c>
      <c r="D22" s="12">
        <f>45600+223159.38+148900+84000+3100+3520+110600</f>
        <v>618879.38</v>
      </c>
      <c r="E22" s="12"/>
      <c r="F22" s="12">
        <f t="shared" si="1"/>
        <v>618879.38</v>
      </c>
      <c r="G22" s="14">
        <f t="shared" si="2"/>
        <v>72993.524061143209</v>
      </c>
      <c r="H22" s="14">
        <f t="shared" si="3"/>
        <v>134617.20196490723</v>
      </c>
      <c r="I22" s="14">
        <f t="shared" si="4"/>
        <v>0</v>
      </c>
      <c r="J22" s="14">
        <f t="shared" si="5"/>
        <v>71772.153868455993</v>
      </c>
      <c r="K22" s="14">
        <f t="shared" si="6"/>
        <v>279382.87989450642</v>
      </c>
      <c r="L22" s="14">
        <f t="shared" si="7"/>
        <v>78101.072139653377</v>
      </c>
      <c r="M22" s="14">
        <f t="shared" si="8"/>
        <v>0</v>
      </c>
      <c r="N22" s="14">
        <f t="shared" si="8"/>
        <v>0</v>
      </c>
      <c r="O22" s="14">
        <f t="shared" si="9"/>
        <v>11725.153849797265</v>
      </c>
      <c r="P22" s="14">
        <f t="shared" si="10"/>
        <v>89826.225989450642</v>
      </c>
      <c r="Q22" s="14">
        <f t="shared" si="11"/>
        <v>56715.990402239047</v>
      </c>
      <c r="R22" s="14">
        <f t="shared" si="12"/>
        <v>1776.5384620904947</v>
      </c>
      <c r="S22" s="14">
        <f t="shared" si="13"/>
        <v>30978.389432703003</v>
      </c>
      <c r="T22" s="14">
        <f t="shared" si="14"/>
        <v>799.44230794072269</v>
      </c>
      <c r="U22" s="14">
        <f t="shared" si="15"/>
        <v>1510.0576927769207</v>
      </c>
      <c r="V22" s="14">
        <f t="shared" si="16"/>
        <v>35064.427895511144</v>
      </c>
      <c r="W22" s="14">
        <f t="shared" si="17"/>
        <v>76835.288485413897</v>
      </c>
      <c r="X22" s="14">
        <f t="shared" si="18"/>
        <v>25670.980777207649</v>
      </c>
      <c r="Y22" s="14">
        <f t="shared" si="19"/>
        <v>45279.524052531488</v>
      </c>
      <c r="Z22" s="14">
        <f t="shared" si="20"/>
        <v>6617.6057712870934</v>
      </c>
      <c r="AA22" s="14">
        <f t="shared" si="21"/>
        <v>266.48076931357423</v>
      </c>
      <c r="AB22" s="14">
        <f t="shared" si="22"/>
        <v>0</v>
      </c>
      <c r="AC22" s="14">
        <f t="shared" si="23"/>
        <v>355.30769241809895</v>
      </c>
      <c r="AD22" s="14">
        <f t="shared" si="24"/>
        <v>7239.3942330187665</v>
      </c>
      <c r="AE22" s="14">
        <f t="shared" si="25"/>
        <v>2864.6682701209229</v>
      </c>
      <c r="AF22" s="9">
        <f t="shared" si="26"/>
        <v>618879.38</v>
      </c>
      <c r="AG22" s="9">
        <f t="shared" si="0"/>
        <v>0</v>
      </c>
    </row>
    <row r="23" spans="1:33" x14ac:dyDescent="0.55000000000000004">
      <c r="A23" s="10">
        <v>17</v>
      </c>
      <c r="B23" s="11" t="s">
        <v>42</v>
      </c>
      <c r="C23" s="10" t="s">
        <v>26</v>
      </c>
      <c r="D23" s="12">
        <f>66847+439225.66+198650+43460+23666+4587+145280.6</f>
        <v>921716.25999999989</v>
      </c>
      <c r="E23" s="12">
        <f>1840+42930+44973.62</f>
        <v>89743.62</v>
      </c>
      <c r="F23" s="12">
        <f t="shared" si="1"/>
        <v>1011459.8799999999</v>
      </c>
      <c r="G23" s="14">
        <f t="shared" si="2"/>
        <v>119296.30146614516</v>
      </c>
      <c r="H23" s="14">
        <f t="shared" si="3"/>
        <v>220010.39838386737</v>
      </c>
      <c r="I23" s="14">
        <f t="shared" si="4"/>
        <v>0</v>
      </c>
      <c r="J23" s="14">
        <f t="shared" si="5"/>
        <v>117300.16621192005</v>
      </c>
      <c r="K23" s="14">
        <f t="shared" si="6"/>
        <v>456606.86606193258</v>
      </c>
      <c r="L23" s="14">
        <f t="shared" si="7"/>
        <v>127643.77616563205</v>
      </c>
      <c r="M23" s="14">
        <f t="shared" si="8"/>
        <v>0</v>
      </c>
      <c r="N23" s="14">
        <f t="shared" si="8"/>
        <v>0</v>
      </c>
      <c r="O23" s="14">
        <f t="shared" si="9"/>
        <v>19162.898440561195</v>
      </c>
      <c r="P23" s="14">
        <f t="shared" si="10"/>
        <v>146806.67460619324</v>
      </c>
      <c r="Q23" s="14">
        <f t="shared" si="11"/>
        <v>92693.262532563051</v>
      </c>
      <c r="R23" s="14">
        <f t="shared" si="12"/>
        <v>2903.4694606910903</v>
      </c>
      <c r="S23" s="14">
        <f t="shared" si="13"/>
        <v>50629.24872080089</v>
      </c>
      <c r="T23" s="14">
        <f t="shared" si="14"/>
        <v>1306.5612573109904</v>
      </c>
      <c r="U23" s="14">
        <f t="shared" si="15"/>
        <v>2467.9490415874266</v>
      </c>
      <c r="V23" s="14">
        <f t="shared" si="16"/>
        <v>57307.228480390397</v>
      </c>
      <c r="W23" s="14">
        <f t="shared" si="17"/>
        <v>125575.05417488965</v>
      </c>
      <c r="X23" s="14">
        <f t="shared" si="18"/>
        <v>41955.133706986257</v>
      </c>
      <c r="Y23" s="14">
        <f t="shared" si="19"/>
        <v>74002.177879364157</v>
      </c>
      <c r="Z23" s="14">
        <f t="shared" si="20"/>
        <v>10815.42374107431</v>
      </c>
      <c r="AA23" s="14">
        <f t="shared" si="21"/>
        <v>435.52041910366353</v>
      </c>
      <c r="AB23" s="14">
        <f t="shared" si="22"/>
        <v>0</v>
      </c>
      <c r="AC23" s="14">
        <f t="shared" si="23"/>
        <v>580.69389213821808</v>
      </c>
      <c r="AD23" s="14">
        <f t="shared" si="24"/>
        <v>11831.638052316192</v>
      </c>
      <c r="AE23" s="14">
        <f t="shared" si="25"/>
        <v>4681.8445053643827</v>
      </c>
      <c r="AF23" s="9">
        <f t="shared" si="26"/>
        <v>1011459.8799999999</v>
      </c>
      <c r="AG23" s="9">
        <f t="shared" si="0"/>
        <v>0</v>
      </c>
    </row>
    <row r="24" spans="1:33" x14ac:dyDescent="0.55000000000000004">
      <c r="A24" s="10">
        <v>18</v>
      </c>
      <c r="B24" s="11" t="s">
        <v>43</v>
      </c>
      <c r="C24" s="10" t="s">
        <v>26</v>
      </c>
      <c r="D24" s="12"/>
      <c r="E24" s="12"/>
      <c r="F24" s="12">
        <f t="shared" si="1"/>
        <v>0</v>
      </c>
      <c r="G24" s="14">
        <f t="shared" si="2"/>
        <v>0</v>
      </c>
      <c r="H24" s="14">
        <f t="shared" si="3"/>
        <v>0</v>
      </c>
      <c r="I24" s="14">
        <f t="shared" si="4"/>
        <v>0</v>
      </c>
      <c r="J24" s="14">
        <f t="shared" si="5"/>
        <v>0</v>
      </c>
      <c r="K24" s="14">
        <f t="shared" si="6"/>
        <v>0</v>
      </c>
      <c r="L24" s="14">
        <f t="shared" si="7"/>
        <v>0</v>
      </c>
      <c r="M24" s="14">
        <f t="shared" si="8"/>
        <v>0</v>
      </c>
      <c r="N24" s="14">
        <f t="shared" si="8"/>
        <v>0</v>
      </c>
      <c r="O24" s="14">
        <f t="shared" si="9"/>
        <v>0</v>
      </c>
      <c r="P24" s="14">
        <f t="shared" si="10"/>
        <v>0</v>
      </c>
      <c r="Q24" s="14">
        <f t="shared" si="11"/>
        <v>0</v>
      </c>
      <c r="R24" s="14">
        <f t="shared" si="12"/>
        <v>0</v>
      </c>
      <c r="S24" s="14">
        <f t="shared" si="13"/>
        <v>0</v>
      </c>
      <c r="T24" s="14">
        <f t="shared" si="14"/>
        <v>0</v>
      </c>
      <c r="U24" s="14">
        <f t="shared" si="15"/>
        <v>0</v>
      </c>
      <c r="V24" s="14">
        <f t="shared" si="16"/>
        <v>0</v>
      </c>
      <c r="W24" s="14">
        <f t="shared" si="17"/>
        <v>0</v>
      </c>
      <c r="X24" s="14">
        <f t="shared" si="18"/>
        <v>0</v>
      </c>
      <c r="Y24" s="14">
        <f t="shared" si="19"/>
        <v>0</v>
      </c>
      <c r="Z24" s="14">
        <f t="shared" si="20"/>
        <v>0</v>
      </c>
      <c r="AA24" s="14">
        <f t="shared" si="21"/>
        <v>0</v>
      </c>
      <c r="AB24" s="14">
        <f t="shared" si="22"/>
        <v>0</v>
      </c>
      <c r="AC24" s="14">
        <f t="shared" si="23"/>
        <v>0</v>
      </c>
      <c r="AD24" s="14">
        <f t="shared" si="24"/>
        <v>0</v>
      </c>
      <c r="AE24" s="14">
        <f t="shared" si="25"/>
        <v>0</v>
      </c>
      <c r="AF24" s="9">
        <f t="shared" si="26"/>
        <v>0</v>
      </c>
      <c r="AG24" s="9">
        <f t="shared" si="0"/>
        <v>0</v>
      </c>
    </row>
    <row r="25" spans="1:33" x14ac:dyDescent="0.55000000000000004">
      <c r="A25" s="10">
        <v>19</v>
      </c>
      <c r="B25" s="11" t="s">
        <v>44</v>
      </c>
      <c r="C25" s="10" t="s">
        <v>26</v>
      </c>
      <c r="D25" s="12">
        <f>83369.52+5122797.98+2952.13+2786048.21+444239.22+12000+567449.43+375220.29+199233.8+3852+1881903.1+1200412</f>
        <v>12679477.68</v>
      </c>
      <c r="E25" s="12">
        <f>206822.44+953923+766690+160232.5+102665.43+14170</f>
        <v>2204503.37</v>
      </c>
      <c r="F25" s="12">
        <f t="shared" si="1"/>
        <v>14883981.050000001</v>
      </c>
      <c r="G25" s="14">
        <f t="shared" si="2"/>
        <v>1755486.2288331122</v>
      </c>
      <c r="H25" s="14">
        <f t="shared" si="3"/>
        <v>3237528.9075711365</v>
      </c>
      <c r="I25" s="14">
        <f t="shared" si="4"/>
        <v>0</v>
      </c>
      <c r="J25" s="14">
        <f t="shared" si="5"/>
        <v>1726112.4099752416</v>
      </c>
      <c r="K25" s="14">
        <f t="shared" si="6"/>
        <v>6719127.5463794908</v>
      </c>
      <c r="L25" s="14">
        <f t="shared" si="7"/>
        <v>1878322.19860239</v>
      </c>
      <c r="M25" s="14">
        <f t="shared" si="8"/>
        <v>0</v>
      </c>
      <c r="N25" s="14">
        <f t="shared" si="8"/>
        <v>0</v>
      </c>
      <c r="O25" s="14">
        <f t="shared" si="9"/>
        <v>281988.66103555926</v>
      </c>
      <c r="P25" s="14">
        <f t="shared" si="10"/>
        <v>2160310.8596379492</v>
      </c>
      <c r="Q25" s="14">
        <f t="shared" si="11"/>
        <v>1364013.333872762</v>
      </c>
      <c r="R25" s="14">
        <f t="shared" si="12"/>
        <v>42725.554702357455</v>
      </c>
      <c r="S25" s="14">
        <f t="shared" si="13"/>
        <v>745026.86012235819</v>
      </c>
      <c r="T25" s="14">
        <f t="shared" si="14"/>
        <v>19226.499616060857</v>
      </c>
      <c r="U25" s="14">
        <f t="shared" si="15"/>
        <v>36316.72149700384</v>
      </c>
      <c r="V25" s="14">
        <f t="shared" si="16"/>
        <v>843295.63593778037</v>
      </c>
      <c r="W25" s="14">
        <f t="shared" si="17"/>
        <v>1847880.2408769601</v>
      </c>
      <c r="X25" s="14">
        <f t="shared" si="18"/>
        <v>617384.26544906525</v>
      </c>
      <c r="Y25" s="14">
        <f t="shared" si="19"/>
        <v>1088967.5754763358</v>
      </c>
      <c r="Z25" s="14">
        <f t="shared" si="20"/>
        <v>159152.69126628156</v>
      </c>
      <c r="AA25" s="14">
        <f t="shared" si="21"/>
        <v>6408.8332053536196</v>
      </c>
      <c r="AB25" s="14">
        <f t="shared" si="22"/>
        <v>0</v>
      </c>
      <c r="AC25" s="14">
        <f t="shared" si="23"/>
        <v>8545.1109404714916</v>
      </c>
      <c r="AD25" s="14">
        <f t="shared" si="24"/>
        <v>174106.63541210667</v>
      </c>
      <c r="AE25" s="14">
        <f t="shared" si="25"/>
        <v>68894.956957551403</v>
      </c>
      <c r="AF25" s="9">
        <f t="shared" si="26"/>
        <v>14883981.049999999</v>
      </c>
      <c r="AG25" s="9">
        <f t="shared" si="0"/>
        <v>0</v>
      </c>
    </row>
    <row r="26" spans="1:33" s="22" customFormat="1" x14ac:dyDescent="0.55000000000000004">
      <c r="A26" s="17">
        <v>20</v>
      </c>
      <c r="B26" s="18" t="s">
        <v>45</v>
      </c>
      <c r="C26" s="17" t="s">
        <v>46</v>
      </c>
      <c r="D26" s="19">
        <f>1444.5+2591877.93+208421.99+1176825.35+1120155.07</f>
        <v>5098724.84</v>
      </c>
      <c r="E26" s="19">
        <f>103089.21+43566.58</f>
        <v>146655.79</v>
      </c>
      <c r="F26" s="19">
        <f t="shared" si="1"/>
        <v>5245380.63</v>
      </c>
      <c r="G26" s="20">
        <f>+F26*8809.94/577917.31</f>
        <v>79962.111928196435</v>
      </c>
      <c r="H26" s="20">
        <f>+F26*1545/577917.31</f>
        <v>14022.963031423991</v>
      </c>
      <c r="I26" s="20">
        <v>0</v>
      </c>
      <c r="J26" s="20">
        <f>+F26*11845/577917.31</f>
        <v>107509.38324091728</v>
      </c>
      <c r="K26" s="20">
        <f>SUM(G26:J26)</f>
        <v>201494.45820053772</v>
      </c>
      <c r="L26" s="20">
        <f>+F26*27639.3/577917.31</f>
        <v>250864.00136856775</v>
      </c>
      <c r="M26" s="20">
        <v>0</v>
      </c>
      <c r="N26" s="20">
        <v>0</v>
      </c>
      <c r="O26" s="20">
        <f>+F26*2880/577917.31</f>
        <v>26139.892252751521</v>
      </c>
      <c r="P26" s="20">
        <f>SUM(L26:O26)</f>
        <v>277003.89362131926</v>
      </c>
      <c r="Q26" s="20">
        <f>+F26*27064.87/577917.31</f>
        <v>245650.27278983573</v>
      </c>
      <c r="R26" s="20">
        <v>0</v>
      </c>
      <c r="S26" s="20">
        <f>+F26*2801/577917.31</f>
        <v>25422.860486096182</v>
      </c>
      <c r="T26" s="20">
        <f>+F26*346.98/577917.31</f>
        <v>3149.3124353679591</v>
      </c>
      <c r="U26" s="20">
        <v>0</v>
      </c>
      <c r="V26" s="20">
        <f>SUM(R26:U26)</f>
        <v>28572.172921464142</v>
      </c>
      <c r="W26" s="20">
        <f>+F26*2154.89/577917.31</f>
        <v>19558.539033517958</v>
      </c>
      <c r="X26" s="20">
        <f>+F26*16757/577917.31</f>
        <v>152092.42169422127</v>
      </c>
      <c r="Y26" s="20">
        <f>+F26*22551/577917.31</f>
        <v>204680.80214993039</v>
      </c>
      <c r="Z26" s="20">
        <f>+F26*5835.58/577917.31</f>
        <v>52965.775150108231</v>
      </c>
      <c r="AA26" s="20">
        <v>0</v>
      </c>
      <c r="AB26" s="20">
        <v>0</v>
      </c>
      <c r="AC26" s="20">
        <v>0</v>
      </c>
      <c r="AD26" s="20">
        <f t="shared" ref="AD26:AD46" si="27">SUM(Z26:AC26)</f>
        <v>52965.775150108231</v>
      </c>
      <c r="AE26" s="20">
        <f>+F26*5835.58/577917.31</f>
        <v>52965.775150108231</v>
      </c>
      <c r="AF26" s="21">
        <f>+K26+P26+Q26+V26+W26+X26+Y26++AD26+AE26</f>
        <v>1234984.1107110428</v>
      </c>
      <c r="AG26" s="21">
        <f>+F26-AF26</f>
        <v>4010396.5192889571</v>
      </c>
    </row>
    <row r="27" spans="1:33" x14ac:dyDescent="0.55000000000000004">
      <c r="A27" s="10">
        <v>21</v>
      </c>
      <c r="B27" s="11" t="s">
        <v>47</v>
      </c>
      <c r="C27" s="23" t="s">
        <v>24</v>
      </c>
      <c r="D27" s="12">
        <f>13471519.7+662800+100936+2303647.61+11660101+507941</f>
        <v>28706945.309999999</v>
      </c>
      <c r="E27" s="12">
        <v>49850</v>
      </c>
      <c r="F27" s="12">
        <f t="shared" si="1"/>
        <v>28756795.309999999</v>
      </c>
      <c r="G27" s="14">
        <f t="shared" ref="G27:G35" si="28">$F27*1643.5/13934.5</f>
        <v>3391710.7246033228</v>
      </c>
      <c r="H27" s="14">
        <f t="shared" ref="H27:H35" si="29">$F27*3031/13934.5</f>
        <v>6255111.1690128818</v>
      </c>
      <c r="I27" s="14">
        <f t="shared" ref="I27:I35" si="30">$F27*0/13934.5</f>
        <v>0</v>
      </c>
      <c r="J27" s="14">
        <f t="shared" ref="J27:J35" si="31">$F27*1616/13934.5</f>
        <v>3334958.643723133</v>
      </c>
      <c r="K27" s="14">
        <f t="shared" ref="K27:K35" si="32">SUM(G27:J27)</f>
        <v>12981780.537339337</v>
      </c>
      <c r="L27" s="14">
        <f t="shared" ref="L27:L35" si="33">$F27*1758.5/13934.5</f>
        <v>3629037.6082841144</v>
      </c>
      <c r="M27" s="14">
        <f t="shared" ref="M27:N35" si="34">$F27*0/13934.5</f>
        <v>0</v>
      </c>
      <c r="N27" s="14">
        <f t="shared" si="34"/>
        <v>0</v>
      </c>
      <c r="O27" s="14">
        <f t="shared" ref="O27:O35" si="35">$F27*264/13934.5</f>
        <v>544819.9764498187</v>
      </c>
      <c r="P27" s="14">
        <f t="shared" ref="P27:P35" si="36">SUM(L27:O27)</f>
        <v>4173857.5847339332</v>
      </c>
      <c r="Q27" s="14">
        <f t="shared" ref="Q27:Q35" si="37">$F27*1277/13934.5</f>
        <v>2635360.2648727973</v>
      </c>
      <c r="R27" s="14">
        <f t="shared" ref="R27:R35" si="38">$F27*40/13934.5</f>
        <v>82548.481280275562</v>
      </c>
      <c r="S27" s="14">
        <f t="shared" ref="S27:S35" si="39">$F27*697.5/13934.5</f>
        <v>1439439.1423248053</v>
      </c>
      <c r="T27" s="14">
        <f t="shared" ref="T27:T35" si="40">$F27*18/13934.5</f>
        <v>37146.816576124009</v>
      </c>
      <c r="U27" s="14">
        <f t="shared" ref="U27:U35" si="41">$F27*34/13934.5</f>
        <v>70166.209088234231</v>
      </c>
      <c r="V27" s="14">
        <f t="shared" ref="V27:V35" si="42">SUM(R27:U27)</f>
        <v>1629300.649269439</v>
      </c>
      <c r="W27" s="14">
        <f t="shared" ref="W27:W35" si="43">$F27*1730/13934.5</f>
        <v>3570221.8153719185</v>
      </c>
      <c r="X27" s="14">
        <f t="shared" ref="X27:X35" si="44">$F27*578/13934.5</f>
        <v>1192825.5544999819</v>
      </c>
      <c r="Y27" s="14">
        <f t="shared" ref="Y27:Y35" si="45">$F27*1019.5/13934.5</f>
        <v>2103954.4166310234</v>
      </c>
      <c r="Z27" s="14">
        <f t="shared" ref="Z27:Z35" si="46">$F27*149/13934.5</f>
        <v>307493.09276902647</v>
      </c>
      <c r="AA27" s="14">
        <f t="shared" ref="AA27:AA35" si="47">$F27*6/13934.5</f>
        <v>12382.272192041335</v>
      </c>
      <c r="AB27" s="14">
        <f t="shared" ref="AB27:AB35" si="48">$F27*0/13072</f>
        <v>0</v>
      </c>
      <c r="AC27" s="14">
        <f t="shared" ref="AC27:AC35" si="49">$F27*8/13934.5</f>
        <v>16509.696256055115</v>
      </c>
      <c r="AD27" s="14">
        <f t="shared" si="27"/>
        <v>336385.06121712289</v>
      </c>
      <c r="AE27" s="14">
        <f t="shared" ref="AE27:AE35" si="50">$F27*64.5/13934.5</f>
        <v>133109.42606444436</v>
      </c>
      <c r="AF27" s="9">
        <f t="shared" si="26"/>
        <v>28756795.309999995</v>
      </c>
      <c r="AG27" s="9">
        <f t="shared" si="0"/>
        <v>0</v>
      </c>
    </row>
    <row r="28" spans="1:33" x14ac:dyDescent="0.55000000000000004">
      <c r="A28" s="10">
        <v>22</v>
      </c>
      <c r="B28" s="11" t="s">
        <v>48</v>
      </c>
      <c r="C28" s="10" t="s">
        <v>26</v>
      </c>
      <c r="D28" s="12">
        <v>428831</v>
      </c>
      <c r="E28" s="12"/>
      <c r="F28" s="12">
        <f t="shared" si="1"/>
        <v>428831</v>
      </c>
      <c r="G28" s="14">
        <f t="shared" si="28"/>
        <v>50578.330654131831</v>
      </c>
      <c r="H28" s="14">
        <f t="shared" si="29"/>
        <v>93278.320786537006</v>
      </c>
      <c r="I28" s="14">
        <f t="shared" si="30"/>
        <v>0</v>
      </c>
      <c r="J28" s="14">
        <f t="shared" si="31"/>
        <v>49732.024543399479</v>
      </c>
      <c r="K28" s="14">
        <f t="shared" si="32"/>
        <v>193588.67598406834</v>
      </c>
      <c r="L28" s="14">
        <f t="shared" si="33"/>
        <v>54117.428935376221</v>
      </c>
      <c r="M28" s="14">
        <f t="shared" si="34"/>
        <v>0</v>
      </c>
      <c r="N28" s="14">
        <f t="shared" si="34"/>
        <v>0</v>
      </c>
      <c r="O28" s="14">
        <f t="shared" si="35"/>
        <v>8124.5386630306075</v>
      </c>
      <c r="P28" s="14">
        <f t="shared" si="36"/>
        <v>62241.967598406831</v>
      </c>
      <c r="Q28" s="14">
        <f t="shared" si="37"/>
        <v>39299.378305644263</v>
      </c>
      <c r="R28" s="14">
        <f t="shared" si="38"/>
        <v>1230.990706519789</v>
      </c>
      <c r="S28" s="14">
        <f t="shared" si="39"/>
        <v>21465.400444938819</v>
      </c>
      <c r="T28" s="14">
        <f t="shared" si="40"/>
        <v>553.945817933905</v>
      </c>
      <c r="U28" s="14">
        <f t="shared" si="41"/>
        <v>1046.3421005418206</v>
      </c>
      <c r="V28" s="14">
        <f t="shared" si="42"/>
        <v>24296.679069934333</v>
      </c>
      <c r="W28" s="14">
        <f t="shared" si="43"/>
        <v>53240.348056980874</v>
      </c>
      <c r="X28" s="14">
        <f t="shared" si="44"/>
        <v>17787.81570921095</v>
      </c>
      <c r="Y28" s="14">
        <f t="shared" si="45"/>
        <v>31374.875632423122</v>
      </c>
      <c r="Z28" s="14">
        <f t="shared" si="46"/>
        <v>4585.4403817862139</v>
      </c>
      <c r="AA28" s="14">
        <f t="shared" si="47"/>
        <v>184.64860597796834</v>
      </c>
      <c r="AB28" s="14">
        <f t="shared" si="48"/>
        <v>0</v>
      </c>
      <c r="AC28" s="14">
        <f t="shared" si="49"/>
        <v>246.19814130395781</v>
      </c>
      <c r="AD28" s="14">
        <f t="shared" si="27"/>
        <v>5016.2871290681396</v>
      </c>
      <c r="AE28" s="14">
        <f t="shared" si="50"/>
        <v>1984.9725142631598</v>
      </c>
      <c r="AF28" s="9">
        <f t="shared" si="26"/>
        <v>428831.00000000006</v>
      </c>
      <c r="AG28" s="9">
        <f t="shared" si="0"/>
        <v>0</v>
      </c>
    </row>
    <row r="29" spans="1:33" x14ac:dyDescent="0.55000000000000004">
      <c r="A29" s="10">
        <v>23</v>
      </c>
      <c r="B29" s="11" t="s">
        <v>49</v>
      </c>
      <c r="C29" s="10" t="s">
        <v>26</v>
      </c>
      <c r="D29" s="12">
        <f>68112.35+46404.59</f>
        <v>114516.94</v>
      </c>
      <c r="E29" s="12"/>
      <c r="F29" s="12">
        <f t="shared" si="1"/>
        <v>114516.94</v>
      </c>
      <c r="G29" s="14">
        <f t="shared" si="28"/>
        <v>13506.662663891781</v>
      </c>
      <c r="H29" s="14">
        <f t="shared" si="29"/>
        <v>24909.458189386056</v>
      </c>
      <c r="I29" s="14">
        <f t="shared" si="30"/>
        <v>0</v>
      </c>
      <c r="J29" s="14">
        <f t="shared" si="31"/>
        <v>13280.661311134234</v>
      </c>
      <c r="K29" s="14">
        <f t="shared" si="32"/>
        <v>51696.78216441207</v>
      </c>
      <c r="L29" s="14">
        <f t="shared" si="33"/>
        <v>14451.759229968784</v>
      </c>
      <c r="M29" s="14">
        <f t="shared" si="34"/>
        <v>0</v>
      </c>
      <c r="N29" s="14">
        <f t="shared" si="34"/>
        <v>0</v>
      </c>
      <c r="O29" s="14">
        <f t="shared" si="35"/>
        <v>2169.6129864724244</v>
      </c>
      <c r="P29" s="14">
        <f t="shared" si="36"/>
        <v>16621.37221644121</v>
      </c>
      <c r="Q29" s="14">
        <f t="shared" si="37"/>
        <v>10494.680998959417</v>
      </c>
      <c r="R29" s="14">
        <f t="shared" si="38"/>
        <v>328.72924037460973</v>
      </c>
      <c r="S29" s="14">
        <f t="shared" si="39"/>
        <v>5732.2161290322583</v>
      </c>
      <c r="T29" s="14">
        <f t="shared" si="40"/>
        <v>147.92815816857438</v>
      </c>
      <c r="U29" s="14">
        <f t="shared" si="41"/>
        <v>279.41985431841829</v>
      </c>
      <c r="V29" s="14">
        <f t="shared" si="42"/>
        <v>6488.2933818938609</v>
      </c>
      <c r="W29" s="14">
        <f t="shared" si="43"/>
        <v>14217.539646201874</v>
      </c>
      <c r="X29" s="14">
        <f t="shared" si="44"/>
        <v>4750.137523413111</v>
      </c>
      <c r="Y29" s="14">
        <f t="shared" si="45"/>
        <v>8378.4865140478669</v>
      </c>
      <c r="Z29" s="14">
        <f t="shared" si="46"/>
        <v>1224.5164203954214</v>
      </c>
      <c r="AA29" s="14">
        <f t="shared" si="47"/>
        <v>49.309386056191471</v>
      </c>
      <c r="AB29" s="14">
        <f t="shared" si="48"/>
        <v>0</v>
      </c>
      <c r="AC29" s="14">
        <f t="shared" si="49"/>
        <v>65.745848074921952</v>
      </c>
      <c r="AD29" s="14">
        <f t="shared" si="27"/>
        <v>1339.5716545265348</v>
      </c>
      <c r="AE29" s="14">
        <f t="shared" si="50"/>
        <v>530.07590010405829</v>
      </c>
      <c r="AF29" s="9">
        <f t="shared" si="26"/>
        <v>114516.94</v>
      </c>
      <c r="AG29" s="9">
        <f t="shared" si="0"/>
        <v>0</v>
      </c>
    </row>
    <row r="30" spans="1:33" x14ac:dyDescent="0.55000000000000004">
      <c r="A30" s="10">
        <v>24</v>
      </c>
      <c r="B30" s="11" t="s">
        <v>50</v>
      </c>
      <c r="C30" s="10" t="s">
        <v>26</v>
      </c>
      <c r="D30" s="12">
        <f>1465200+63600+403948+210908+46224</f>
        <v>2189880</v>
      </c>
      <c r="E30" s="12"/>
      <c r="F30" s="12">
        <f t="shared" si="1"/>
        <v>2189880</v>
      </c>
      <c r="G30" s="14">
        <f t="shared" si="28"/>
        <v>258284.67329290611</v>
      </c>
      <c r="H30" s="14">
        <f t="shared" si="29"/>
        <v>476337.59948329686</v>
      </c>
      <c r="I30" s="14">
        <f t="shared" si="30"/>
        <v>0</v>
      </c>
      <c r="J30" s="14">
        <f t="shared" si="31"/>
        <v>253962.90358462807</v>
      </c>
      <c r="K30" s="14">
        <f t="shared" si="32"/>
        <v>988585.17636083113</v>
      </c>
      <c r="L30" s="14">
        <f t="shared" si="33"/>
        <v>276357.52843661414</v>
      </c>
      <c r="M30" s="14">
        <f t="shared" si="34"/>
        <v>0</v>
      </c>
      <c r="N30" s="14">
        <f t="shared" si="34"/>
        <v>0</v>
      </c>
      <c r="O30" s="14">
        <f t="shared" si="35"/>
        <v>41488.989199468946</v>
      </c>
      <c r="P30" s="14">
        <f t="shared" si="36"/>
        <v>317846.51763608307</v>
      </c>
      <c r="Q30" s="14">
        <f t="shared" si="37"/>
        <v>200687.26972621909</v>
      </c>
      <c r="R30" s="14">
        <f t="shared" si="38"/>
        <v>6286.2104847680221</v>
      </c>
      <c r="S30" s="14">
        <f t="shared" si="39"/>
        <v>109615.79532814238</v>
      </c>
      <c r="T30" s="14">
        <f t="shared" si="40"/>
        <v>2828.7947181456097</v>
      </c>
      <c r="U30" s="14">
        <f t="shared" si="41"/>
        <v>5343.2789120528187</v>
      </c>
      <c r="V30" s="14">
        <f t="shared" si="42"/>
        <v>124074.07944310883</v>
      </c>
      <c r="W30" s="14">
        <f t="shared" si="43"/>
        <v>271878.60346621694</v>
      </c>
      <c r="X30" s="14">
        <f t="shared" si="44"/>
        <v>90835.741504897916</v>
      </c>
      <c r="Y30" s="14">
        <f t="shared" si="45"/>
        <v>160219.78973052496</v>
      </c>
      <c r="Z30" s="14">
        <f t="shared" si="46"/>
        <v>23416.134055760882</v>
      </c>
      <c r="AA30" s="14">
        <f t="shared" si="47"/>
        <v>942.93157271520329</v>
      </c>
      <c r="AB30" s="14">
        <f t="shared" si="48"/>
        <v>0</v>
      </c>
      <c r="AC30" s="14">
        <f t="shared" si="49"/>
        <v>1257.2420969536045</v>
      </c>
      <c r="AD30" s="14">
        <f t="shared" si="27"/>
        <v>25616.307725429688</v>
      </c>
      <c r="AE30" s="14">
        <f t="shared" si="50"/>
        <v>10136.514406688435</v>
      </c>
      <c r="AF30" s="9">
        <f t="shared" si="26"/>
        <v>2189880</v>
      </c>
      <c r="AG30" s="9">
        <f t="shared" si="0"/>
        <v>0</v>
      </c>
    </row>
    <row r="31" spans="1:33" x14ac:dyDescent="0.55000000000000004">
      <c r="A31" s="10">
        <v>25</v>
      </c>
      <c r="B31" s="11" t="s">
        <v>51</v>
      </c>
      <c r="C31" s="10" t="s">
        <v>26</v>
      </c>
      <c r="D31" s="12">
        <v>100588</v>
      </c>
      <c r="E31" s="12"/>
      <c r="F31" s="12">
        <f t="shared" si="1"/>
        <v>100588</v>
      </c>
      <c r="G31" s="14">
        <f t="shared" si="28"/>
        <v>11863.818436255337</v>
      </c>
      <c r="H31" s="14">
        <f t="shared" si="29"/>
        <v>21879.667587642183</v>
      </c>
      <c r="I31" s="14">
        <f t="shared" si="30"/>
        <v>0</v>
      </c>
      <c r="J31" s="14">
        <f t="shared" si="31"/>
        <v>11665.306110732356</v>
      </c>
      <c r="K31" s="14">
        <f t="shared" si="32"/>
        <v>45408.792134629883</v>
      </c>
      <c r="L31" s="14">
        <f t="shared" si="33"/>
        <v>12693.960888442356</v>
      </c>
      <c r="M31" s="14">
        <f t="shared" si="34"/>
        <v>0</v>
      </c>
      <c r="N31" s="14">
        <f t="shared" si="34"/>
        <v>0</v>
      </c>
      <c r="O31" s="14">
        <f t="shared" si="35"/>
        <v>1905.7183250206322</v>
      </c>
      <c r="P31" s="14">
        <f t="shared" si="36"/>
        <v>14599.679213462989</v>
      </c>
      <c r="Q31" s="14">
        <f t="shared" si="37"/>
        <v>9218.1905342854061</v>
      </c>
      <c r="R31" s="14">
        <f t="shared" si="38"/>
        <v>288.74520076070183</v>
      </c>
      <c r="S31" s="14">
        <f t="shared" si="39"/>
        <v>5034.9944382647382</v>
      </c>
      <c r="T31" s="14">
        <f t="shared" si="40"/>
        <v>129.93534034231584</v>
      </c>
      <c r="U31" s="14">
        <f t="shared" si="41"/>
        <v>245.43342064659657</v>
      </c>
      <c r="V31" s="14">
        <f t="shared" si="42"/>
        <v>5699.1084000143519</v>
      </c>
      <c r="W31" s="14">
        <f t="shared" si="43"/>
        <v>12488.229932900354</v>
      </c>
      <c r="X31" s="14">
        <f t="shared" si="44"/>
        <v>4172.3681509921416</v>
      </c>
      <c r="Y31" s="14">
        <f t="shared" si="45"/>
        <v>7359.393304388389</v>
      </c>
      <c r="Z31" s="14">
        <f t="shared" si="46"/>
        <v>1075.5758728336143</v>
      </c>
      <c r="AA31" s="14">
        <f t="shared" si="47"/>
        <v>43.311780114105275</v>
      </c>
      <c r="AB31" s="14">
        <f t="shared" si="48"/>
        <v>0</v>
      </c>
      <c r="AC31" s="14">
        <f t="shared" si="49"/>
        <v>57.749040152140374</v>
      </c>
      <c r="AD31" s="14">
        <f t="shared" si="27"/>
        <v>1176.6366930998599</v>
      </c>
      <c r="AE31" s="14">
        <f t="shared" si="50"/>
        <v>465.60163622663174</v>
      </c>
      <c r="AF31" s="9">
        <f t="shared" si="26"/>
        <v>100588.00000000001</v>
      </c>
      <c r="AG31" s="9">
        <f t="shared" si="0"/>
        <v>0</v>
      </c>
    </row>
    <row r="32" spans="1:33" x14ac:dyDescent="0.55000000000000004">
      <c r="A32" s="10">
        <v>26</v>
      </c>
      <c r="B32" s="11" t="s">
        <v>52</v>
      </c>
      <c r="C32" s="10" t="s">
        <v>26</v>
      </c>
      <c r="D32" s="12">
        <f>25750+5269644.81+938510+900280+172500+24500+205280+306279.3</f>
        <v>7842744.1099999994</v>
      </c>
      <c r="E32" s="12">
        <f>510030+257280+8553804.32+54665+218160+2475+600000+23175</f>
        <v>10219589.32</v>
      </c>
      <c r="F32" s="12">
        <f t="shared" si="1"/>
        <v>18062333.43</v>
      </c>
      <c r="G32" s="14">
        <f t="shared" si="28"/>
        <v>2130355.9504973264</v>
      </c>
      <c r="H32" s="14">
        <f t="shared" si="29"/>
        <v>3928876.7179539991</v>
      </c>
      <c r="I32" s="14">
        <f t="shared" si="30"/>
        <v>0</v>
      </c>
      <c r="J32" s="14">
        <f t="shared" si="31"/>
        <v>2094709.5929441315</v>
      </c>
      <c r="K32" s="14">
        <f t="shared" si="32"/>
        <v>8153942.2613954572</v>
      </c>
      <c r="L32" s="14">
        <f t="shared" si="33"/>
        <v>2279422.5366288708</v>
      </c>
      <c r="M32" s="14">
        <f t="shared" si="34"/>
        <v>0</v>
      </c>
      <c r="N32" s="14">
        <f t="shared" si="34"/>
        <v>0</v>
      </c>
      <c r="O32" s="14">
        <f t="shared" si="35"/>
        <v>342205.03251067491</v>
      </c>
      <c r="P32" s="14">
        <f t="shared" si="36"/>
        <v>2621627.5691395458</v>
      </c>
      <c r="Q32" s="14">
        <f t="shared" si="37"/>
        <v>1655287.2216520149</v>
      </c>
      <c r="R32" s="14">
        <f t="shared" si="38"/>
        <v>51849.247350102269</v>
      </c>
      <c r="S32" s="14">
        <f t="shared" si="39"/>
        <v>904121.25066740823</v>
      </c>
      <c r="T32" s="14">
        <f t="shared" si="40"/>
        <v>23332.161307546019</v>
      </c>
      <c r="U32" s="14">
        <f t="shared" si="41"/>
        <v>44071.860247586927</v>
      </c>
      <c r="V32" s="14">
        <f t="shared" si="42"/>
        <v>1023374.5195726434</v>
      </c>
      <c r="W32" s="14">
        <f t="shared" si="43"/>
        <v>2242479.9478919227</v>
      </c>
      <c r="X32" s="14">
        <f t="shared" si="44"/>
        <v>749221.62420897768</v>
      </c>
      <c r="Y32" s="14">
        <f t="shared" si="45"/>
        <v>1321507.6918357313</v>
      </c>
      <c r="Z32" s="14">
        <f t="shared" si="46"/>
        <v>193138.44637913094</v>
      </c>
      <c r="AA32" s="14">
        <f t="shared" si="47"/>
        <v>7777.3871025153394</v>
      </c>
      <c r="AB32" s="14">
        <f t="shared" si="48"/>
        <v>0</v>
      </c>
      <c r="AC32" s="14">
        <f t="shared" si="49"/>
        <v>10369.849470020452</v>
      </c>
      <c r="AD32" s="14">
        <f t="shared" si="27"/>
        <v>211285.68295166673</v>
      </c>
      <c r="AE32" s="14">
        <f t="shared" si="50"/>
        <v>83606.911352039897</v>
      </c>
      <c r="AF32" s="9">
        <f t="shared" si="26"/>
        <v>18062333.429999996</v>
      </c>
      <c r="AG32" s="9">
        <f t="shared" si="0"/>
        <v>0</v>
      </c>
    </row>
    <row r="33" spans="1:33" x14ac:dyDescent="0.55000000000000004">
      <c r="A33" s="10">
        <v>27</v>
      </c>
      <c r="B33" s="11" t="s">
        <v>53</v>
      </c>
      <c r="C33" s="10" t="s">
        <v>26</v>
      </c>
      <c r="D33" s="12">
        <f>498214.9+1894963.95</f>
        <v>2393178.85</v>
      </c>
      <c r="E33" s="12"/>
      <c r="F33" s="12">
        <f t="shared" si="1"/>
        <v>2393178.85</v>
      </c>
      <c r="G33" s="14">
        <f t="shared" si="28"/>
        <v>282262.68900749937</v>
      </c>
      <c r="H33" s="14">
        <f t="shared" si="29"/>
        <v>520558.69204851269</v>
      </c>
      <c r="I33" s="14">
        <f t="shared" si="30"/>
        <v>0</v>
      </c>
      <c r="J33" s="14">
        <f t="shared" si="31"/>
        <v>277539.70516344329</v>
      </c>
      <c r="K33" s="14">
        <f t="shared" si="32"/>
        <v>1080361.0862194553</v>
      </c>
      <c r="L33" s="14">
        <f t="shared" si="33"/>
        <v>302013.34871900681</v>
      </c>
      <c r="M33" s="14">
        <f t="shared" si="34"/>
        <v>0</v>
      </c>
      <c r="N33" s="14">
        <f t="shared" si="34"/>
        <v>0</v>
      </c>
      <c r="O33" s="14">
        <f t="shared" si="35"/>
        <v>45340.644902938744</v>
      </c>
      <c r="P33" s="14">
        <f t="shared" si="36"/>
        <v>347353.99362194556</v>
      </c>
      <c r="Q33" s="14">
        <f t="shared" si="37"/>
        <v>219318.19523126056</v>
      </c>
      <c r="R33" s="14">
        <f t="shared" si="38"/>
        <v>6869.7946822634467</v>
      </c>
      <c r="S33" s="14">
        <f t="shared" si="39"/>
        <v>119792.04477196885</v>
      </c>
      <c r="T33" s="14">
        <f t="shared" si="40"/>
        <v>3091.4076070185515</v>
      </c>
      <c r="U33" s="14">
        <f t="shared" si="41"/>
        <v>5839.3254799239303</v>
      </c>
      <c r="V33" s="14">
        <f t="shared" si="42"/>
        <v>135592.57254117477</v>
      </c>
      <c r="W33" s="14">
        <f t="shared" si="43"/>
        <v>297118.62000789406</v>
      </c>
      <c r="X33" s="14">
        <f t="shared" si="44"/>
        <v>99268.533158706807</v>
      </c>
      <c r="Y33" s="14">
        <f t="shared" si="45"/>
        <v>175093.89196418962</v>
      </c>
      <c r="Z33" s="14">
        <f t="shared" si="46"/>
        <v>25589.98519143134</v>
      </c>
      <c r="AA33" s="14">
        <f t="shared" si="47"/>
        <v>1030.4692023395171</v>
      </c>
      <c r="AB33" s="14">
        <f t="shared" si="48"/>
        <v>0</v>
      </c>
      <c r="AC33" s="14">
        <f t="shared" si="49"/>
        <v>1373.9589364526894</v>
      </c>
      <c r="AD33" s="14">
        <f t="shared" si="27"/>
        <v>27994.41333022355</v>
      </c>
      <c r="AE33" s="14">
        <f t="shared" si="50"/>
        <v>11077.54392514981</v>
      </c>
      <c r="AF33" s="9">
        <f t="shared" si="26"/>
        <v>2393178.85</v>
      </c>
      <c r="AG33" s="9">
        <f t="shared" si="0"/>
        <v>0</v>
      </c>
    </row>
    <row r="34" spans="1:33" x14ac:dyDescent="0.55000000000000004">
      <c r="A34" s="10">
        <v>28</v>
      </c>
      <c r="B34" s="11" t="s">
        <v>54</v>
      </c>
      <c r="C34" s="10" t="s">
        <v>26</v>
      </c>
      <c r="D34" s="12">
        <f>556582.48+116036.22+131094.66</f>
        <v>803713.36</v>
      </c>
      <c r="E34" s="12"/>
      <c r="F34" s="12">
        <f t="shared" si="1"/>
        <v>803713.36</v>
      </c>
      <c r="G34" s="14">
        <f t="shared" si="28"/>
        <v>94793.706782446447</v>
      </c>
      <c r="H34" s="14">
        <f t="shared" si="29"/>
        <v>174821.85899458179</v>
      </c>
      <c r="I34" s="14">
        <f t="shared" si="30"/>
        <v>0</v>
      </c>
      <c r="J34" s="14">
        <f t="shared" si="31"/>
        <v>93207.563225088801</v>
      </c>
      <c r="K34" s="14">
        <f t="shared" si="32"/>
        <v>362823.12900211703</v>
      </c>
      <c r="L34" s="14">
        <f t="shared" si="33"/>
        <v>101426.67074957838</v>
      </c>
      <c r="M34" s="14">
        <f t="shared" si="34"/>
        <v>0</v>
      </c>
      <c r="N34" s="14">
        <f t="shared" si="34"/>
        <v>0</v>
      </c>
      <c r="O34" s="14">
        <f t="shared" si="35"/>
        <v>15226.97815063332</v>
      </c>
      <c r="P34" s="14">
        <f t="shared" si="36"/>
        <v>116653.6489002117</v>
      </c>
      <c r="Q34" s="14">
        <f t="shared" si="37"/>
        <v>73654.739008934659</v>
      </c>
      <c r="R34" s="14">
        <f t="shared" si="38"/>
        <v>2307.1179016111091</v>
      </c>
      <c r="S34" s="14">
        <f t="shared" si="39"/>
        <v>40230.368409343719</v>
      </c>
      <c r="T34" s="14">
        <f t="shared" si="40"/>
        <v>1038.2030557249991</v>
      </c>
      <c r="U34" s="14">
        <f t="shared" si="41"/>
        <v>1961.0502163694425</v>
      </c>
      <c r="V34" s="14">
        <f t="shared" si="42"/>
        <v>45536.739583049268</v>
      </c>
      <c r="W34" s="14">
        <f t="shared" si="43"/>
        <v>99782.849244680459</v>
      </c>
      <c r="X34" s="14">
        <f t="shared" si="44"/>
        <v>33337.853678280524</v>
      </c>
      <c r="Y34" s="14">
        <f t="shared" si="45"/>
        <v>58802.667517313144</v>
      </c>
      <c r="Z34" s="14">
        <f t="shared" si="46"/>
        <v>8594.0141835013819</v>
      </c>
      <c r="AA34" s="14">
        <f t="shared" si="47"/>
        <v>346.06768524166637</v>
      </c>
      <c r="AB34" s="14">
        <f t="shared" si="48"/>
        <v>0</v>
      </c>
      <c r="AC34" s="14">
        <f t="shared" si="49"/>
        <v>461.42358032222182</v>
      </c>
      <c r="AD34" s="14">
        <f t="shared" si="27"/>
        <v>9401.5054490652692</v>
      </c>
      <c r="AE34" s="14">
        <f t="shared" si="50"/>
        <v>3720.2276163479132</v>
      </c>
      <c r="AF34" s="9">
        <f t="shared" si="26"/>
        <v>803713.3600000001</v>
      </c>
      <c r="AG34" s="9">
        <f t="shared" si="0"/>
        <v>0</v>
      </c>
    </row>
    <row r="35" spans="1:33" x14ac:dyDescent="0.55000000000000004">
      <c r="A35" s="10">
        <v>29</v>
      </c>
      <c r="B35" s="11" t="s">
        <v>55</v>
      </c>
      <c r="C35" s="10" t="s">
        <v>26</v>
      </c>
      <c r="D35" s="12">
        <v>3595.2</v>
      </c>
      <c r="E35" s="12"/>
      <c r="F35" s="12">
        <f t="shared" si="1"/>
        <v>3595.2</v>
      </c>
      <c r="G35" s="14">
        <f t="shared" si="28"/>
        <v>424.03467652230069</v>
      </c>
      <c r="H35" s="14">
        <f t="shared" si="29"/>
        <v>782.01953424952455</v>
      </c>
      <c r="I35" s="14">
        <f t="shared" si="30"/>
        <v>0</v>
      </c>
      <c r="J35" s="14">
        <f t="shared" si="31"/>
        <v>416.93948114392327</v>
      </c>
      <c r="K35" s="14">
        <f t="shared" si="32"/>
        <v>1622.9936919157485</v>
      </c>
      <c r="L35" s="14">
        <f t="shared" si="33"/>
        <v>453.70549355915171</v>
      </c>
      <c r="M35" s="14">
        <f t="shared" si="34"/>
        <v>0</v>
      </c>
      <c r="N35" s="14">
        <f t="shared" si="34"/>
        <v>0</v>
      </c>
      <c r="O35" s="14">
        <f t="shared" si="35"/>
        <v>68.113875632423117</v>
      </c>
      <c r="P35" s="14">
        <f t="shared" si="36"/>
        <v>521.81936919157488</v>
      </c>
      <c r="Q35" s="14">
        <f t="shared" si="37"/>
        <v>329.47507266138001</v>
      </c>
      <c r="R35" s="14">
        <f t="shared" si="38"/>
        <v>10.320284186730776</v>
      </c>
      <c r="S35" s="14">
        <f t="shared" si="39"/>
        <v>179.95995550611792</v>
      </c>
      <c r="T35" s="14">
        <f t="shared" si="40"/>
        <v>4.6441278840288494</v>
      </c>
      <c r="U35" s="14">
        <f t="shared" si="41"/>
        <v>8.7722415587211593</v>
      </c>
      <c r="V35" s="14">
        <f t="shared" si="42"/>
        <v>203.69660913559872</v>
      </c>
      <c r="W35" s="14">
        <f t="shared" si="43"/>
        <v>446.35229107610604</v>
      </c>
      <c r="X35" s="14">
        <f t="shared" si="44"/>
        <v>149.12810649825971</v>
      </c>
      <c r="Y35" s="14">
        <f t="shared" si="45"/>
        <v>263.03824320930067</v>
      </c>
      <c r="Z35" s="14">
        <f t="shared" si="46"/>
        <v>38.443058595572133</v>
      </c>
      <c r="AA35" s="14">
        <f t="shared" si="47"/>
        <v>1.5480426280096162</v>
      </c>
      <c r="AB35" s="14">
        <f t="shared" si="48"/>
        <v>0</v>
      </c>
      <c r="AC35" s="14">
        <f t="shared" si="49"/>
        <v>2.064056837346155</v>
      </c>
      <c r="AD35" s="14">
        <f t="shared" si="27"/>
        <v>42.055158060927909</v>
      </c>
      <c r="AE35" s="14">
        <f t="shared" si="50"/>
        <v>16.641458251103376</v>
      </c>
      <c r="AF35" s="9">
        <f t="shared" si="26"/>
        <v>3595.2000000000003</v>
      </c>
      <c r="AG35" s="9">
        <f t="shared" si="0"/>
        <v>0</v>
      </c>
    </row>
    <row r="36" spans="1:33" s="22" customFormat="1" x14ac:dyDescent="0.55000000000000004">
      <c r="A36" s="17">
        <v>30</v>
      </c>
      <c r="B36" s="18" t="s">
        <v>56</v>
      </c>
      <c r="C36" s="17" t="s">
        <v>46</v>
      </c>
      <c r="D36" s="19">
        <f>13975942.11+4761611.55+4208489.32</f>
        <v>22946042.98</v>
      </c>
      <c r="E36" s="19">
        <f>295042.96+5103210.11</f>
        <v>5398253.0700000003</v>
      </c>
      <c r="F36" s="19">
        <f t="shared" si="1"/>
        <v>28344296.050000001</v>
      </c>
      <c r="G36" s="20">
        <f>+F36*8809.94/577917.31</f>
        <v>432088.71446113457</v>
      </c>
      <c r="H36" s="20">
        <f>+F36*1545/577917.31</f>
        <v>75775.438180334124</v>
      </c>
      <c r="I36" s="20">
        <v>0</v>
      </c>
      <c r="J36" s="20">
        <f>+F36*11845/577917.31</f>
        <v>580945.02604922839</v>
      </c>
      <c r="K36" s="20">
        <f>SUM(G36:J36)</f>
        <v>1088809.1786906971</v>
      </c>
      <c r="L36" s="20">
        <f>+F36*27639.3/577917.31</f>
        <v>1355585.8048528861</v>
      </c>
      <c r="M36" s="20">
        <v>0</v>
      </c>
      <c r="N36" s="20">
        <v>0</v>
      </c>
      <c r="O36" s="20">
        <f>+F36*2880/577917.31</f>
        <v>141251.30223906945</v>
      </c>
      <c r="P36" s="20">
        <f>SUM(L36:O36)</f>
        <v>1496837.1070919556</v>
      </c>
      <c r="Q36" s="20">
        <f>+F36*27064.87/577917.31</f>
        <v>1327412.5459830291</v>
      </c>
      <c r="R36" s="20">
        <v>0</v>
      </c>
      <c r="S36" s="20">
        <f>+F36*2801/577917.31</f>
        <v>137376.70054570609</v>
      </c>
      <c r="T36" s="20">
        <f>+F36*346.98/577917.31</f>
        <v>17017.839184344557</v>
      </c>
      <c r="U36" s="20">
        <v>0</v>
      </c>
      <c r="V36" s="20">
        <f>SUM(R36:U36)</f>
        <v>154394.53973005066</v>
      </c>
      <c r="W36" s="20">
        <f>+F36*2154.89/577917.31</f>
        <v>105687.85370900985</v>
      </c>
      <c r="X36" s="20">
        <f>+F36*16757/577917.31</f>
        <v>821856.96931253013</v>
      </c>
      <c r="Y36" s="20">
        <f>+F36*22551/577917.31</f>
        <v>1106027.1238865471</v>
      </c>
      <c r="Z36" s="20">
        <f>+F36*5835.58/577917.31</f>
        <v>286209.47025009338</v>
      </c>
      <c r="AA36" s="20">
        <v>0</v>
      </c>
      <c r="AB36" s="20">
        <v>0</v>
      </c>
      <c r="AC36" s="20">
        <v>0</v>
      </c>
      <c r="AD36" s="20">
        <f t="shared" si="27"/>
        <v>286209.47025009338</v>
      </c>
      <c r="AE36" s="20">
        <f>+F36*5835.58/577917.31</f>
        <v>286209.47025009338</v>
      </c>
      <c r="AF36" s="21">
        <f>+K36+P36+Q36+V36+W36+X36+Y36++AD36+AE36</f>
        <v>6673444.2589040063</v>
      </c>
      <c r="AG36" s="21">
        <f>+F36-AF36</f>
        <v>21670851.791095994</v>
      </c>
    </row>
    <row r="37" spans="1:33" x14ac:dyDescent="0.55000000000000004">
      <c r="A37" s="10">
        <v>31</v>
      </c>
      <c r="B37" s="11" t="s">
        <v>57</v>
      </c>
      <c r="C37" s="23" t="s">
        <v>24</v>
      </c>
      <c r="D37" s="12">
        <f>2490763.46+240348.1+539816.31</f>
        <v>3270927.87</v>
      </c>
      <c r="E37" s="12">
        <v>2179863.7599999998</v>
      </c>
      <c r="F37" s="12">
        <f t="shared" si="1"/>
        <v>5450791.6299999999</v>
      </c>
      <c r="G37" s="14">
        <f t="shared" ref="G37:G45" si="51">$F37*1643.5/13934.5</f>
        <v>642891.81842943782</v>
      </c>
      <c r="H37" s="14">
        <f t="shared" ref="H37:H45" si="52">$F37*3031/13934.5</f>
        <v>1185643.5057253579</v>
      </c>
      <c r="I37" s="14">
        <f t="shared" ref="I37:I45" si="53">$F37*0/13934.5</f>
        <v>0</v>
      </c>
      <c r="J37" s="14">
        <f t="shared" ref="J37:J45" si="54">$F37*1616/13934.5</f>
        <v>632134.57778032939</v>
      </c>
      <c r="K37" s="14">
        <f t="shared" ref="K37:K45" si="55">SUM(G37:J37)</f>
        <v>2460669.9019351248</v>
      </c>
      <c r="L37" s="14">
        <f t="shared" ref="L37:L45" si="56">$F37*1758.5/13934.5</f>
        <v>687876.64296207251</v>
      </c>
      <c r="M37" s="14">
        <f t="shared" ref="M37:N45" si="57">$F37*0/13934.5</f>
        <v>0</v>
      </c>
      <c r="N37" s="14">
        <f t="shared" si="57"/>
        <v>0</v>
      </c>
      <c r="O37" s="14">
        <f t="shared" ref="O37:O45" si="58">$F37*264/13934.5</f>
        <v>103269.51023143994</v>
      </c>
      <c r="P37" s="14">
        <f t="shared" ref="P37:P45" si="59">SUM(L37:O37)</f>
        <v>791146.15319351247</v>
      </c>
      <c r="Q37" s="14">
        <f t="shared" ref="Q37:Q45" si="60">$F37*1277/13934.5</f>
        <v>499527.13850586675</v>
      </c>
      <c r="R37" s="14">
        <f t="shared" ref="R37:R45" si="61">$F37*40/13934.5</f>
        <v>15646.895489612112</v>
      </c>
      <c r="S37" s="14">
        <f t="shared" ref="S37:S45" si="62">$F37*697.5/13934.5</f>
        <v>272842.74010011123</v>
      </c>
      <c r="T37" s="14">
        <f t="shared" ref="T37:T45" si="63">$F37*18/13934.5</f>
        <v>7041.1029703254517</v>
      </c>
      <c r="U37" s="14">
        <f t="shared" ref="U37:U45" si="64">$F37*34/13934.5</f>
        <v>13299.861166170296</v>
      </c>
      <c r="V37" s="14">
        <f t="shared" ref="V37:V45" si="65">SUM(R37:U37)</f>
        <v>308830.59972621908</v>
      </c>
      <c r="W37" s="14">
        <f t="shared" ref="W37:W45" si="66">$F37*1730/13934.5</f>
        <v>676728.22992572386</v>
      </c>
      <c r="X37" s="14">
        <f t="shared" ref="X37:X45" si="67">$F37*578/13934.5</f>
        <v>226097.63982489504</v>
      </c>
      <c r="Y37" s="14">
        <f t="shared" ref="Y37:Y45" si="68">$F37*1019.5/13934.5</f>
        <v>398800.24879148876</v>
      </c>
      <c r="Z37" s="14">
        <f t="shared" ref="Z37:Z45" si="69">$F37*149/13934.5</f>
        <v>58284.685698805122</v>
      </c>
      <c r="AA37" s="14">
        <f t="shared" ref="AA37:AA45" si="70">$F37*6/13934.5</f>
        <v>2347.0343234418174</v>
      </c>
      <c r="AB37" s="14">
        <f t="shared" ref="AB37:AB45" si="71">$F37*0/13072</f>
        <v>0</v>
      </c>
      <c r="AC37" s="14">
        <f t="shared" ref="AC37:AC45" si="72">$F37*8/13934.5</f>
        <v>3129.3790979224227</v>
      </c>
      <c r="AD37" s="14">
        <f t="shared" si="27"/>
        <v>63761.099120169361</v>
      </c>
      <c r="AE37" s="14">
        <f t="shared" ref="AE37:AE45" si="73">$F37*64.5/13934.5</f>
        <v>25230.618976999533</v>
      </c>
      <c r="AF37" s="9">
        <f t="shared" si="26"/>
        <v>5450791.629999999</v>
      </c>
      <c r="AG37" s="9">
        <f t="shared" si="0"/>
        <v>0</v>
      </c>
    </row>
    <row r="38" spans="1:33" x14ac:dyDescent="0.55000000000000004">
      <c r="A38" s="10">
        <v>32</v>
      </c>
      <c r="B38" s="11" t="s">
        <v>58</v>
      </c>
      <c r="C38" s="10" t="s">
        <v>26</v>
      </c>
      <c r="D38" s="12">
        <f>12590.47+461155.81+202781.18+45970.94+115868.06</f>
        <v>838366.46</v>
      </c>
      <c r="E38" s="12">
        <v>74567.009999999995</v>
      </c>
      <c r="F38" s="12">
        <f t="shared" si="1"/>
        <v>912933.47</v>
      </c>
      <c r="G38" s="14">
        <f t="shared" si="51"/>
        <v>107675.63658150633</v>
      </c>
      <c r="H38" s="14">
        <f t="shared" si="52"/>
        <v>198579.16305357206</v>
      </c>
      <c r="I38" s="14">
        <f t="shared" si="53"/>
        <v>0</v>
      </c>
      <c r="J38" s="14">
        <f t="shared" si="54"/>
        <v>105873.94506584377</v>
      </c>
      <c r="K38" s="14">
        <f t="shared" si="55"/>
        <v>412128.74470092217</v>
      </c>
      <c r="L38" s="14">
        <f t="shared" si="56"/>
        <v>115209.9829197316</v>
      </c>
      <c r="M38" s="14">
        <f t="shared" si="57"/>
        <v>0</v>
      </c>
      <c r="N38" s="14">
        <f t="shared" si="57"/>
        <v>0</v>
      </c>
      <c r="O38" s="14">
        <f t="shared" si="58"/>
        <v>17296.238550360613</v>
      </c>
      <c r="P38" s="14">
        <f t="shared" si="59"/>
        <v>132506.22147009222</v>
      </c>
      <c r="Q38" s="14">
        <f t="shared" si="60"/>
        <v>83664.002381857979</v>
      </c>
      <c r="R38" s="14">
        <f t="shared" si="61"/>
        <v>2620.642204600093</v>
      </c>
      <c r="S38" s="14">
        <f t="shared" si="62"/>
        <v>45697.448442714121</v>
      </c>
      <c r="T38" s="14">
        <f t="shared" si="63"/>
        <v>1179.288992070042</v>
      </c>
      <c r="U38" s="14">
        <f t="shared" si="64"/>
        <v>2227.5458739100795</v>
      </c>
      <c r="V38" s="14">
        <f t="shared" si="65"/>
        <v>51724.925513294336</v>
      </c>
      <c r="W38" s="14">
        <f t="shared" si="66"/>
        <v>113342.77534895403</v>
      </c>
      <c r="X38" s="14">
        <f t="shared" si="67"/>
        <v>37868.279856471345</v>
      </c>
      <c r="Y38" s="14">
        <f t="shared" si="68"/>
        <v>66793.61818974487</v>
      </c>
      <c r="Z38" s="14">
        <f t="shared" si="69"/>
        <v>9761.892212135348</v>
      </c>
      <c r="AA38" s="14">
        <f t="shared" si="70"/>
        <v>393.09633069001404</v>
      </c>
      <c r="AB38" s="14">
        <f t="shared" si="71"/>
        <v>0</v>
      </c>
      <c r="AC38" s="14">
        <f t="shared" si="72"/>
        <v>524.12844092001865</v>
      </c>
      <c r="AD38" s="14">
        <f t="shared" si="27"/>
        <v>10679.11698374538</v>
      </c>
      <c r="AE38" s="14">
        <f t="shared" si="73"/>
        <v>4225.7855549176502</v>
      </c>
      <c r="AF38" s="9">
        <f t="shared" si="26"/>
        <v>912933.46999999986</v>
      </c>
      <c r="AG38" s="9">
        <f t="shared" si="0"/>
        <v>0</v>
      </c>
    </row>
    <row r="39" spans="1:33" x14ac:dyDescent="0.55000000000000004">
      <c r="A39" s="10">
        <v>33</v>
      </c>
      <c r="B39" s="11" t="s">
        <v>59</v>
      </c>
      <c r="C39" s="10" t="s">
        <v>26</v>
      </c>
      <c r="D39" s="12">
        <v>1500000</v>
      </c>
      <c r="E39" s="12"/>
      <c r="F39" s="12">
        <f t="shared" si="1"/>
        <v>1500000</v>
      </c>
      <c r="G39" s="14">
        <f t="shared" si="51"/>
        <v>176917.0045570347</v>
      </c>
      <c r="H39" s="14">
        <f t="shared" si="52"/>
        <v>326276.50794789911</v>
      </c>
      <c r="I39" s="14">
        <f t="shared" si="53"/>
        <v>0</v>
      </c>
      <c r="J39" s="14">
        <f t="shared" si="54"/>
        <v>173956.72611145</v>
      </c>
      <c r="K39" s="14">
        <f t="shared" si="55"/>
        <v>677150.23861638387</v>
      </c>
      <c r="L39" s="14">
        <f t="shared" si="56"/>
        <v>189296.35078402527</v>
      </c>
      <c r="M39" s="14">
        <f t="shared" si="57"/>
        <v>0</v>
      </c>
      <c r="N39" s="14">
        <f t="shared" si="57"/>
        <v>0</v>
      </c>
      <c r="O39" s="14">
        <f t="shared" si="58"/>
        <v>28418.673077613119</v>
      </c>
      <c r="P39" s="14">
        <f t="shared" si="59"/>
        <v>217715.02386163839</v>
      </c>
      <c r="Q39" s="14">
        <f t="shared" si="60"/>
        <v>137464.56636406042</v>
      </c>
      <c r="R39" s="14">
        <f t="shared" si="61"/>
        <v>4305.8595572141085</v>
      </c>
      <c r="S39" s="14">
        <f t="shared" si="62"/>
        <v>75083.426028921021</v>
      </c>
      <c r="T39" s="14">
        <f t="shared" si="63"/>
        <v>1937.6368007463491</v>
      </c>
      <c r="U39" s="14">
        <f t="shared" si="64"/>
        <v>3659.9806236319923</v>
      </c>
      <c r="V39" s="14">
        <f t="shared" si="65"/>
        <v>84986.903010513459</v>
      </c>
      <c r="W39" s="14">
        <f t="shared" si="66"/>
        <v>186228.42584951021</v>
      </c>
      <c r="X39" s="14">
        <f t="shared" si="67"/>
        <v>62219.67060174387</v>
      </c>
      <c r="Y39" s="14">
        <f t="shared" si="68"/>
        <v>109745.5954644946</v>
      </c>
      <c r="Z39" s="14">
        <f t="shared" si="69"/>
        <v>16039.326850622556</v>
      </c>
      <c r="AA39" s="14">
        <f t="shared" si="70"/>
        <v>645.87893358211636</v>
      </c>
      <c r="AB39" s="14">
        <f t="shared" si="71"/>
        <v>0</v>
      </c>
      <c r="AC39" s="14">
        <f t="shared" si="72"/>
        <v>861.17191144282174</v>
      </c>
      <c r="AD39" s="14">
        <f t="shared" si="27"/>
        <v>17546.377695647494</v>
      </c>
      <c r="AE39" s="14">
        <f t="shared" si="73"/>
        <v>6943.1985360077506</v>
      </c>
      <c r="AF39" s="9">
        <f t="shared" si="26"/>
        <v>1500000</v>
      </c>
      <c r="AG39" s="9">
        <f t="shared" si="0"/>
        <v>0</v>
      </c>
    </row>
    <row r="40" spans="1:33" x14ac:dyDescent="0.55000000000000004">
      <c r="A40" s="10">
        <v>34</v>
      </c>
      <c r="B40" s="11" t="s">
        <v>60</v>
      </c>
      <c r="C40" s="10" t="s">
        <v>26</v>
      </c>
      <c r="D40" s="12">
        <f>362489+97213+34065+65499</f>
        <v>559266</v>
      </c>
      <c r="E40" s="12">
        <v>34081</v>
      </c>
      <c r="F40" s="12">
        <f t="shared" si="1"/>
        <v>593347</v>
      </c>
      <c r="G40" s="14">
        <f t="shared" si="51"/>
        <v>69982.115935268579</v>
      </c>
      <c r="H40" s="14">
        <f t="shared" si="52"/>
        <v>129063.45810757473</v>
      </c>
      <c r="I40" s="14">
        <f t="shared" si="53"/>
        <v>0</v>
      </c>
      <c r="J40" s="14">
        <f t="shared" si="54"/>
        <v>68811.134378700342</v>
      </c>
      <c r="K40" s="14">
        <f t="shared" si="55"/>
        <v>267856.70842154365</v>
      </c>
      <c r="L40" s="14">
        <f t="shared" si="56"/>
        <v>74878.947899099352</v>
      </c>
      <c r="M40" s="14">
        <f t="shared" si="57"/>
        <v>0</v>
      </c>
      <c r="N40" s="14">
        <f t="shared" si="57"/>
        <v>0</v>
      </c>
      <c r="O40" s="14">
        <f t="shared" si="58"/>
        <v>11241.422943055008</v>
      </c>
      <c r="P40" s="14">
        <f t="shared" si="59"/>
        <v>86120.370842154356</v>
      </c>
      <c r="Q40" s="14">
        <f t="shared" si="60"/>
        <v>54376.125372277442</v>
      </c>
      <c r="R40" s="14">
        <f t="shared" si="61"/>
        <v>1703.2459004628799</v>
      </c>
      <c r="S40" s="14">
        <f t="shared" si="62"/>
        <v>29700.350389321469</v>
      </c>
      <c r="T40" s="14">
        <f t="shared" si="63"/>
        <v>766.46065520829598</v>
      </c>
      <c r="U40" s="14">
        <f t="shared" si="64"/>
        <v>1447.759015393448</v>
      </c>
      <c r="V40" s="14">
        <f t="shared" si="65"/>
        <v>33617.815960386091</v>
      </c>
      <c r="W40" s="14">
        <f t="shared" si="66"/>
        <v>73665.385195019553</v>
      </c>
      <c r="X40" s="14">
        <f t="shared" si="67"/>
        <v>24611.903261688614</v>
      </c>
      <c r="Y40" s="14">
        <f t="shared" si="68"/>
        <v>43411.479888047652</v>
      </c>
      <c r="Z40" s="14">
        <f t="shared" si="69"/>
        <v>6344.5909792242273</v>
      </c>
      <c r="AA40" s="14">
        <f t="shared" si="70"/>
        <v>255.48688506943199</v>
      </c>
      <c r="AB40" s="14">
        <f t="shared" si="71"/>
        <v>0</v>
      </c>
      <c r="AC40" s="14">
        <f t="shared" si="72"/>
        <v>340.64918009257599</v>
      </c>
      <c r="AD40" s="14">
        <f t="shared" si="27"/>
        <v>6940.7270443862353</v>
      </c>
      <c r="AE40" s="14">
        <f t="shared" si="73"/>
        <v>2746.4840144963937</v>
      </c>
      <c r="AF40" s="9">
        <f t="shared" si="26"/>
        <v>593347</v>
      </c>
      <c r="AG40" s="9">
        <f t="shared" si="0"/>
        <v>0</v>
      </c>
    </row>
    <row r="41" spans="1:33" x14ac:dyDescent="0.55000000000000004">
      <c r="A41" s="10">
        <v>35</v>
      </c>
      <c r="B41" s="11" t="s">
        <v>61</v>
      </c>
      <c r="C41" s="10" t="s">
        <v>26</v>
      </c>
      <c r="D41" s="12"/>
      <c r="E41" s="12">
        <v>20780</v>
      </c>
      <c r="F41" s="12">
        <f t="shared" si="1"/>
        <v>20780</v>
      </c>
      <c r="G41" s="14">
        <f t="shared" si="51"/>
        <v>2450.8902364634541</v>
      </c>
      <c r="H41" s="14">
        <f t="shared" si="52"/>
        <v>4520.0172234382289</v>
      </c>
      <c r="I41" s="14">
        <f t="shared" si="53"/>
        <v>0</v>
      </c>
      <c r="J41" s="14">
        <f t="shared" si="54"/>
        <v>2409.8805123972875</v>
      </c>
      <c r="K41" s="14">
        <f t="shared" si="55"/>
        <v>9380.787972298971</v>
      </c>
      <c r="L41" s="14">
        <f t="shared" si="56"/>
        <v>2622.3854461946967</v>
      </c>
      <c r="M41" s="14">
        <f t="shared" si="57"/>
        <v>0</v>
      </c>
      <c r="N41" s="14">
        <f t="shared" si="57"/>
        <v>0</v>
      </c>
      <c r="O41" s="14">
        <f t="shared" si="58"/>
        <v>393.69335103520041</v>
      </c>
      <c r="P41" s="14">
        <f t="shared" si="59"/>
        <v>3016.0787972298972</v>
      </c>
      <c r="Q41" s="14">
        <f t="shared" si="60"/>
        <v>1904.3424593634504</v>
      </c>
      <c r="R41" s="14">
        <f t="shared" si="61"/>
        <v>59.650507732606123</v>
      </c>
      <c r="S41" s="14">
        <f t="shared" si="62"/>
        <v>1040.1557285873193</v>
      </c>
      <c r="T41" s="14">
        <f t="shared" si="63"/>
        <v>26.842728479672754</v>
      </c>
      <c r="U41" s="14">
        <f t="shared" si="64"/>
        <v>50.702931572715201</v>
      </c>
      <c r="V41" s="14">
        <f t="shared" si="65"/>
        <v>1177.3518963723136</v>
      </c>
      <c r="W41" s="14">
        <f t="shared" si="66"/>
        <v>2579.8844594352149</v>
      </c>
      <c r="X41" s="14">
        <f t="shared" si="67"/>
        <v>861.94983673615843</v>
      </c>
      <c r="Y41" s="14">
        <f t="shared" si="68"/>
        <v>1520.3423158347985</v>
      </c>
      <c r="Z41" s="14">
        <f t="shared" si="69"/>
        <v>222.19814130395781</v>
      </c>
      <c r="AA41" s="14">
        <f t="shared" si="70"/>
        <v>8.947576159890918</v>
      </c>
      <c r="AB41" s="14">
        <f t="shared" si="71"/>
        <v>0</v>
      </c>
      <c r="AC41" s="14">
        <f t="shared" si="72"/>
        <v>11.930101546521223</v>
      </c>
      <c r="AD41" s="14">
        <f t="shared" si="27"/>
        <v>243.07581901036997</v>
      </c>
      <c r="AE41" s="14">
        <f t="shared" si="73"/>
        <v>96.186443718827377</v>
      </c>
      <c r="AF41" s="9">
        <f t="shared" si="26"/>
        <v>20780</v>
      </c>
      <c r="AG41" s="9">
        <f t="shared" si="0"/>
        <v>0</v>
      </c>
    </row>
    <row r="42" spans="1:33" x14ac:dyDescent="0.55000000000000004">
      <c r="A42" s="10">
        <v>36</v>
      </c>
      <c r="B42" s="11" t="s">
        <v>62</v>
      </c>
      <c r="C42" s="10" t="s">
        <v>26</v>
      </c>
      <c r="D42" s="12">
        <v>14695300</v>
      </c>
      <c r="E42" s="12">
        <v>13823384.380000001</v>
      </c>
      <c r="F42" s="12">
        <f t="shared" si="1"/>
        <v>28518684.380000003</v>
      </c>
      <c r="G42" s="14">
        <f t="shared" si="51"/>
        <v>3363626.8096113969</v>
      </c>
      <c r="H42" s="14">
        <f t="shared" si="52"/>
        <v>6203317.833849798</v>
      </c>
      <c r="I42" s="14">
        <f t="shared" si="53"/>
        <v>0</v>
      </c>
      <c r="J42" s="14">
        <f t="shared" si="54"/>
        <v>3307344.6451670318</v>
      </c>
      <c r="K42" s="14">
        <f t="shared" si="55"/>
        <v>12874289.288628226</v>
      </c>
      <c r="L42" s="14">
        <f t="shared" si="56"/>
        <v>3598988.5881969216</v>
      </c>
      <c r="M42" s="14">
        <f t="shared" si="57"/>
        <v>0</v>
      </c>
      <c r="N42" s="14">
        <f t="shared" si="57"/>
        <v>0</v>
      </c>
      <c r="O42" s="14">
        <f t="shared" si="58"/>
        <v>540308.77866590128</v>
      </c>
      <c r="P42" s="14">
        <f t="shared" si="59"/>
        <v>4139297.3668628228</v>
      </c>
      <c r="Q42" s="14">
        <f t="shared" si="60"/>
        <v>2613539.0543801356</v>
      </c>
      <c r="R42" s="14">
        <f t="shared" si="61"/>
        <v>81864.966464530487</v>
      </c>
      <c r="S42" s="14">
        <f t="shared" si="62"/>
        <v>1427520.3527252504</v>
      </c>
      <c r="T42" s="14">
        <f t="shared" si="63"/>
        <v>36839.234909038722</v>
      </c>
      <c r="U42" s="14">
        <f t="shared" si="64"/>
        <v>69585.221494850921</v>
      </c>
      <c r="V42" s="14">
        <f t="shared" si="65"/>
        <v>1615809.7755936706</v>
      </c>
      <c r="W42" s="14">
        <f t="shared" si="66"/>
        <v>3540659.7995909434</v>
      </c>
      <c r="X42" s="14">
        <f t="shared" si="67"/>
        <v>1182948.7654124657</v>
      </c>
      <c r="Y42" s="14">
        <f t="shared" si="68"/>
        <v>2086533.332764721</v>
      </c>
      <c r="Z42" s="14">
        <f t="shared" si="69"/>
        <v>304947.00008037605</v>
      </c>
      <c r="AA42" s="14">
        <f t="shared" si="70"/>
        <v>12279.744969679574</v>
      </c>
      <c r="AB42" s="14">
        <f t="shared" si="71"/>
        <v>0</v>
      </c>
      <c r="AC42" s="14">
        <f t="shared" si="72"/>
        <v>16372.993292906098</v>
      </c>
      <c r="AD42" s="14">
        <f t="shared" si="27"/>
        <v>333599.7383429617</v>
      </c>
      <c r="AE42" s="14">
        <f t="shared" si="73"/>
        <v>132007.25842405541</v>
      </c>
      <c r="AF42" s="9">
        <f t="shared" si="26"/>
        <v>28518684.380000006</v>
      </c>
      <c r="AG42" s="9">
        <f t="shared" si="0"/>
        <v>0</v>
      </c>
    </row>
    <row r="43" spans="1:33" x14ac:dyDescent="0.55000000000000004">
      <c r="A43" s="10">
        <v>37</v>
      </c>
      <c r="B43" s="11" t="s">
        <v>63</v>
      </c>
      <c r="C43" s="10" t="s">
        <v>26</v>
      </c>
      <c r="D43" s="12">
        <v>10000000</v>
      </c>
      <c r="E43" s="12"/>
      <c r="F43" s="12">
        <f t="shared" si="1"/>
        <v>10000000</v>
      </c>
      <c r="G43" s="14">
        <f t="shared" si="51"/>
        <v>1179446.6970468981</v>
      </c>
      <c r="H43" s="14">
        <f t="shared" si="52"/>
        <v>2175176.7196526607</v>
      </c>
      <c r="I43" s="14">
        <f t="shared" si="53"/>
        <v>0</v>
      </c>
      <c r="J43" s="14">
        <f t="shared" si="54"/>
        <v>1159711.5074096667</v>
      </c>
      <c r="K43" s="14">
        <f t="shared" si="55"/>
        <v>4514334.9241092252</v>
      </c>
      <c r="L43" s="14">
        <f t="shared" si="56"/>
        <v>1261975.6718935017</v>
      </c>
      <c r="M43" s="14">
        <f t="shared" si="57"/>
        <v>0</v>
      </c>
      <c r="N43" s="14">
        <f t="shared" si="57"/>
        <v>0</v>
      </c>
      <c r="O43" s="14">
        <f t="shared" si="58"/>
        <v>189457.8205174208</v>
      </c>
      <c r="P43" s="14">
        <f t="shared" si="59"/>
        <v>1451433.4924109224</v>
      </c>
      <c r="Q43" s="14">
        <f t="shared" si="60"/>
        <v>916430.44242706953</v>
      </c>
      <c r="R43" s="14">
        <f t="shared" si="61"/>
        <v>28705.730381427391</v>
      </c>
      <c r="S43" s="14">
        <f t="shared" si="62"/>
        <v>500556.17352614016</v>
      </c>
      <c r="T43" s="14">
        <f t="shared" si="63"/>
        <v>12917.578671642326</v>
      </c>
      <c r="U43" s="14">
        <f t="shared" si="64"/>
        <v>24399.870824213285</v>
      </c>
      <c r="V43" s="14">
        <f t="shared" si="65"/>
        <v>566579.3534034231</v>
      </c>
      <c r="W43" s="14">
        <f t="shared" si="66"/>
        <v>1241522.8389967347</v>
      </c>
      <c r="X43" s="14">
        <f t="shared" si="67"/>
        <v>414797.80401162582</v>
      </c>
      <c r="Y43" s="14">
        <f t="shared" si="68"/>
        <v>731637.30309663061</v>
      </c>
      <c r="Z43" s="14">
        <f t="shared" si="69"/>
        <v>106928.84567081704</v>
      </c>
      <c r="AA43" s="14">
        <f t="shared" si="70"/>
        <v>4305.8595572141085</v>
      </c>
      <c r="AB43" s="14">
        <f t="shared" si="71"/>
        <v>0</v>
      </c>
      <c r="AC43" s="14">
        <f t="shared" si="72"/>
        <v>5741.1460762854786</v>
      </c>
      <c r="AD43" s="14">
        <f t="shared" si="27"/>
        <v>116975.85130431663</v>
      </c>
      <c r="AE43" s="14">
        <f t="shared" si="73"/>
        <v>46287.990240051673</v>
      </c>
      <c r="AF43" s="9">
        <f t="shared" si="26"/>
        <v>10000000.000000002</v>
      </c>
      <c r="AG43" s="9">
        <f t="shared" si="0"/>
        <v>0</v>
      </c>
    </row>
    <row r="44" spans="1:33" x14ac:dyDescent="0.55000000000000004">
      <c r="A44" s="10">
        <v>38</v>
      </c>
      <c r="B44" s="11" t="s">
        <v>64</v>
      </c>
      <c r="C44" s="10" t="s">
        <v>26</v>
      </c>
      <c r="D44" s="12">
        <v>298050</v>
      </c>
      <c r="E44" s="12"/>
      <c r="F44" s="12">
        <f t="shared" si="1"/>
        <v>298050</v>
      </c>
      <c r="G44" s="14">
        <f t="shared" si="51"/>
        <v>35153.408805482795</v>
      </c>
      <c r="H44" s="14">
        <f t="shared" si="52"/>
        <v>64831.14212924755</v>
      </c>
      <c r="I44" s="14">
        <f t="shared" si="53"/>
        <v>0</v>
      </c>
      <c r="J44" s="14">
        <f t="shared" si="54"/>
        <v>34565.201478345116</v>
      </c>
      <c r="K44" s="14">
        <f t="shared" si="55"/>
        <v>134549.75241307548</v>
      </c>
      <c r="L44" s="14">
        <f t="shared" si="56"/>
        <v>37613.184900785818</v>
      </c>
      <c r="M44" s="14">
        <f t="shared" si="57"/>
        <v>0</v>
      </c>
      <c r="N44" s="14">
        <f t="shared" si="57"/>
        <v>0</v>
      </c>
      <c r="O44" s="14">
        <f t="shared" si="58"/>
        <v>5646.7903405217266</v>
      </c>
      <c r="P44" s="14">
        <f t="shared" si="59"/>
        <v>43259.975241307548</v>
      </c>
      <c r="Q44" s="14">
        <f t="shared" si="60"/>
        <v>27314.209336538806</v>
      </c>
      <c r="R44" s="14">
        <f t="shared" si="61"/>
        <v>855.57429401844342</v>
      </c>
      <c r="S44" s="14">
        <f t="shared" si="62"/>
        <v>14919.076751946608</v>
      </c>
      <c r="T44" s="14">
        <f t="shared" si="63"/>
        <v>385.00843230829952</v>
      </c>
      <c r="U44" s="14">
        <f t="shared" si="64"/>
        <v>727.2381499156769</v>
      </c>
      <c r="V44" s="14">
        <f t="shared" si="65"/>
        <v>16886.897628189028</v>
      </c>
      <c r="W44" s="14">
        <f t="shared" si="66"/>
        <v>37003.588216297678</v>
      </c>
      <c r="X44" s="14">
        <f t="shared" si="67"/>
        <v>12363.048548566507</v>
      </c>
      <c r="Y44" s="14">
        <f t="shared" si="68"/>
        <v>21806.449818795078</v>
      </c>
      <c r="Z44" s="14">
        <f t="shared" si="69"/>
        <v>3187.0142452187019</v>
      </c>
      <c r="AA44" s="14">
        <f t="shared" si="70"/>
        <v>128.33614410276653</v>
      </c>
      <c r="AB44" s="14">
        <f t="shared" si="71"/>
        <v>0</v>
      </c>
      <c r="AC44" s="14">
        <f t="shared" si="72"/>
        <v>171.11485880368869</v>
      </c>
      <c r="AD44" s="14">
        <f t="shared" si="27"/>
        <v>3486.4652481251569</v>
      </c>
      <c r="AE44" s="14">
        <f t="shared" si="73"/>
        <v>1379.6135491047401</v>
      </c>
      <c r="AF44" s="9">
        <f t="shared" si="26"/>
        <v>298050</v>
      </c>
      <c r="AG44" s="9">
        <f t="shared" si="0"/>
        <v>0</v>
      </c>
    </row>
    <row r="45" spans="1:33" x14ac:dyDescent="0.55000000000000004">
      <c r="A45" s="10">
        <v>39</v>
      </c>
      <c r="B45" s="11" t="s">
        <v>65</v>
      </c>
      <c r="C45" s="10" t="s">
        <v>26</v>
      </c>
      <c r="D45" s="12">
        <f>33736900+1510000</f>
        <v>35246900</v>
      </c>
      <c r="E45" s="12"/>
      <c r="F45" s="12">
        <f t="shared" si="1"/>
        <v>35246900</v>
      </c>
      <c r="G45" s="14">
        <f t="shared" si="51"/>
        <v>4157183.9786142306</v>
      </c>
      <c r="H45" s="14">
        <f t="shared" si="52"/>
        <v>7666823.6319925366</v>
      </c>
      <c r="I45" s="14">
        <f t="shared" si="53"/>
        <v>0</v>
      </c>
      <c r="J45" s="14">
        <f t="shared" si="54"/>
        <v>4087623.5530517781</v>
      </c>
      <c r="K45" s="14">
        <f t="shared" si="55"/>
        <v>15911631.163658544</v>
      </c>
      <c r="L45" s="14">
        <f t="shared" si="56"/>
        <v>4448073.030966307</v>
      </c>
      <c r="M45" s="14">
        <f t="shared" si="57"/>
        <v>0</v>
      </c>
      <c r="N45" s="14">
        <f t="shared" si="57"/>
        <v>0</v>
      </c>
      <c r="O45" s="14">
        <f t="shared" si="58"/>
        <v>667780.08539954794</v>
      </c>
      <c r="P45" s="14">
        <f t="shared" si="59"/>
        <v>5115853.1163658546</v>
      </c>
      <c r="Q45" s="14">
        <f t="shared" si="60"/>
        <v>3230133.2161182677</v>
      </c>
      <c r="R45" s="14">
        <f t="shared" si="61"/>
        <v>101178.80081811332</v>
      </c>
      <c r="S45" s="14">
        <f t="shared" si="62"/>
        <v>1764305.3392658508</v>
      </c>
      <c r="T45" s="14">
        <f t="shared" si="63"/>
        <v>45530.460368150991</v>
      </c>
      <c r="U45" s="14">
        <f t="shared" si="64"/>
        <v>86001.980695396313</v>
      </c>
      <c r="V45" s="14">
        <f t="shared" si="65"/>
        <v>1997016.5811475115</v>
      </c>
      <c r="W45" s="14">
        <f t="shared" si="66"/>
        <v>4375983.1353834011</v>
      </c>
      <c r="X45" s="14">
        <f t="shared" si="67"/>
        <v>1462033.6718217374</v>
      </c>
      <c r="Y45" s="14">
        <f t="shared" si="68"/>
        <v>2578794.6858516634</v>
      </c>
      <c r="Z45" s="14">
        <f t="shared" si="69"/>
        <v>376891.03304747213</v>
      </c>
      <c r="AA45" s="14">
        <f t="shared" si="70"/>
        <v>15176.820122716998</v>
      </c>
      <c r="AB45" s="14">
        <f t="shared" si="71"/>
        <v>0</v>
      </c>
      <c r="AC45" s="14">
        <f t="shared" si="72"/>
        <v>20235.760163622665</v>
      </c>
      <c r="AD45" s="14">
        <f t="shared" si="27"/>
        <v>412303.61333381181</v>
      </c>
      <c r="AE45" s="14">
        <f t="shared" si="73"/>
        <v>163150.81631920772</v>
      </c>
      <c r="AF45" s="9">
        <f t="shared" si="26"/>
        <v>35246900</v>
      </c>
      <c r="AG45" s="9">
        <f t="shared" si="0"/>
        <v>0</v>
      </c>
    </row>
    <row r="46" spans="1:33" s="22" customFormat="1" x14ac:dyDescent="0.55000000000000004">
      <c r="A46" s="24">
        <v>40</v>
      </c>
      <c r="B46" s="25" t="s">
        <v>66</v>
      </c>
      <c r="C46" s="17" t="s">
        <v>46</v>
      </c>
      <c r="D46" s="26">
        <v>53307230.540000021</v>
      </c>
      <c r="E46" s="26">
        <v>7886217.0499999998</v>
      </c>
      <c r="F46" s="19">
        <f t="shared" si="1"/>
        <v>61193447.590000018</v>
      </c>
      <c r="G46" s="20">
        <f>+F46*8809.94/577917.31</f>
        <v>932850.75967190659</v>
      </c>
      <c r="H46" s="20">
        <f>+F46*1545/577917.31</f>
        <v>163594.12478326703</v>
      </c>
      <c r="I46" s="20">
        <v>0</v>
      </c>
      <c r="J46" s="20">
        <f>+F46*11845/577917.31</f>
        <v>1254221.6233383806</v>
      </c>
      <c r="K46" s="20">
        <f>SUM(G46:J46)</f>
        <v>2350666.5077935541</v>
      </c>
      <c r="L46" s="20">
        <f>+F46*27639.3/577917.31</f>
        <v>2926619.4777489658</v>
      </c>
      <c r="M46" s="20">
        <v>0</v>
      </c>
      <c r="N46" s="20">
        <v>0</v>
      </c>
      <c r="O46" s="20">
        <f>+F46*2880/577917.31</f>
        <v>304952.15493579872</v>
      </c>
      <c r="P46" s="20">
        <f>SUM(L46:O46)</f>
        <v>3231571.6326847645</v>
      </c>
      <c r="Q46" s="20">
        <f>+F46*27064.87/577917.31</f>
        <v>2865795.2880407125</v>
      </c>
      <c r="R46" s="20">
        <v>0</v>
      </c>
      <c r="S46" s="20">
        <f>+F46*2801/577917.31</f>
        <v>296587.14790804597</v>
      </c>
      <c r="T46" s="20">
        <f>+F46*346.98/577917.31</f>
        <v>36740.381499869254</v>
      </c>
      <c r="U46" s="20">
        <v>0</v>
      </c>
      <c r="V46" s="20">
        <f>SUM(R46:U46)</f>
        <v>333327.52940791519</v>
      </c>
      <c r="W46" s="20">
        <f>+F46*2154.89/577917.31</f>
        <v>228173.03789916783</v>
      </c>
      <c r="X46" s="20">
        <f>+F46*16757/577917.31</f>
        <v>1774334.4653677705</v>
      </c>
      <c r="Y46" s="20">
        <f>+F46*22551/577917.31</f>
        <v>2387838.9048462491</v>
      </c>
      <c r="Z46" s="20">
        <f>+F46*5835.58/577917.31</f>
        <v>617907.18621536402</v>
      </c>
      <c r="AA46" s="20">
        <v>0</v>
      </c>
      <c r="AB46" s="20">
        <v>0</v>
      </c>
      <c r="AC46" s="20">
        <v>0</v>
      </c>
      <c r="AD46" s="20">
        <f t="shared" si="27"/>
        <v>617907.18621536402</v>
      </c>
      <c r="AE46" s="20">
        <f>+F46*5835.58/577917.31</f>
        <v>617907.18621536402</v>
      </c>
      <c r="AF46" s="21">
        <f>+K46+P46+Q46+V46+W46+X46+Y46++AD46+AE46</f>
        <v>14407521.73847086</v>
      </c>
      <c r="AG46" s="21">
        <f>+F46-AF46</f>
        <v>46785925.851529159</v>
      </c>
    </row>
    <row r="47" spans="1:33" x14ac:dyDescent="0.55000000000000004">
      <c r="A47" s="27"/>
      <c r="B47" s="28"/>
      <c r="C47" s="28"/>
      <c r="D47" s="29"/>
      <c r="E47" s="29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</row>
    <row r="48" spans="1:33" s="2" customFormat="1" ht="24.75" thickBot="1" x14ac:dyDescent="0.6">
      <c r="A48" s="107" t="s">
        <v>67</v>
      </c>
      <c r="B48" s="108"/>
      <c r="C48" s="32"/>
      <c r="D48" s="33">
        <f>SUM(D6:D47)</f>
        <v>303121032.75999999</v>
      </c>
      <c r="E48" s="33">
        <f t="shared" ref="E48:AE48" si="74">SUM(E6:E47)</f>
        <v>81059617.11999999</v>
      </c>
      <c r="F48" s="33">
        <f t="shared" si="74"/>
        <v>384180649.88000005</v>
      </c>
      <c r="G48" s="33">
        <f t="shared" si="74"/>
        <v>35577797.157487184</v>
      </c>
      <c r="H48" s="33">
        <f t="shared" si="74"/>
        <v>63202468.569190703</v>
      </c>
      <c r="I48" s="33">
        <f t="shared" si="74"/>
        <v>0</v>
      </c>
      <c r="J48" s="33">
        <f t="shared" si="74"/>
        <v>35504440.099208593</v>
      </c>
      <c r="K48" s="33">
        <f t="shared" si="74"/>
        <v>134284705.82588649</v>
      </c>
      <c r="L48" s="33">
        <f t="shared" si="74"/>
        <v>41054332.966570072</v>
      </c>
      <c r="M48" s="33">
        <f t="shared" si="74"/>
        <v>0</v>
      </c>
      <c r="N48" s="33">
        <f t="shared" si="74"/>
        <v>0</v>
      </c>
      <c r="O48" s="33">
        <f t="shared" si="74"/>
        <v>5955205.7959481254</v>
      </c>
      <c r="P48" s="33">
        <f t="shared" si="74"/>
        <v>47009538.762518212</v>
      </c>
      <c r="Q48" s="33">
        <f t="shared" si="74"/>
        <v>30960128.350020718</v>
      </c>
      <c r="R48" s="33">
        <f t="shared" si="74"/>
        <v>830736.73432128876</v>
      </c>
      <c r="S48" s="33">
        <f t="shared" si="74"/>
        <v>14945358.513667326</v>
      </c>
      <c r="T48" s="33">
        <f t="shared" si="74"/>
        <v>430739.06356416189</v>
      </c>
      <c r="U48" s="33">
        <f t="shared" si="74"/>
        <v>706126.22417309543</v>
      </c>
      <c r="V48" s="33">
        <f t="shared" si="74"/>
        <v>16912960.535725869</v>
      </c>
      <c r="W48" s="33">
        <f t="shared" si="74"/>
        <v>36282783.190037437</v>
      </c>
      <c r="X48" s="33">
        <f t="shared" si="74"/>
        <v>14752429.667317148</v>
      </c>
      <c r="Y48" s="33">
        <f t="shared" si="74"/>
        <v>24871949.346896581</v>
      </c>
      <c r="Z48" s="33">
        <f t="shared" si="74"/>
        <v>4051576.7669623652</v>
      </c>
      <c r="AA48" s="33">
        <f t="shared" si="74"/>
        <v>124610.51014819329</v>
      </c>
      <c r="AB48" s="33">
        <f t="shared" si="74"/>
        <v>0</v>
      </c>
      <c r="AC48" s="33">
        <f t="shared" si="74"/>
        <v>166147.34686425782</v>
      </c>
      <c r="AD48" s="33">
        <f t="shared" si="74"/>
        <v>4342334.6239748178</v>
      </c>
      <c r="AE48" s="33">
        <f t="shared" si="74"/>
        <v>2296645.4157086438</v>
      </c>
      <c r="AF48" s="33">
        <f>SUM(AF6:AF47)</f>
        <v>311713475.71808594</v>
      </c>
      <c r="AG48" s="33">
        <f>SUM(AG6:AG47)</f>
        <v>72467174.16191411</v>
      </c>
    </row>
    <row r="49" spans="1:6" ht="24.75" hidden="1" thickTop="1" x14ac:dyDescent="0.55000000000000004"/>
    <row r="50" spans="1:6" hidden="1" x14ac:dyDescent="0.55000000000000004">
      <c r="C50" s="35" t="s">
        <v>68</v>
      </c>
      <c r="D50" s="36">
        <f>151904573.2-4259591.03</f>
        <v>147644982.16999999</v>
      </c>
      <c r="E50" s="36">
        <v>43326822.479999997</v>
      </c>
    </row>
    <row r="51" spans="1:6" hidden="1" x14ac:dyDescent="0.55000000000000004">
      <c r="C51" s="35" t="s">
        <v>69</v>
      </c>
      <c r="D51" s="36">
        <f>16896502.48-758890.17</f>
        <v>16137612.310000001</v>
      </c>
      <c r="E51" s="36">
        <v>357442</v>
      </c>
    </row>
    <row r="52" spans="1:6" hidden="1" x14ac:dyDescent="0.55000000000000004">
      <c r="C52" s="35" t="s">
        <v>22</v>
      </c>
      <c r="D52" s="36">
        <v>24284369.420000002</v>
      </c>
      <c r="E52" s="36">
        <v>9479252.1699999999</v>
      </c>
    </row>
    <row r="53" spans="1:6" hidden="1" x14ac:dyDescent="0.55000000000000004">
      <c r="C53" s="35" t="s">
        <v>70</v>
      </c>
      <c r="D53" s="36">
        <v>56161343.480000004</v>
      </c>
      <c r="E53" s="36">
        <v>14215934.640000001</v>
      </c>
    </row>
    <row r="54" spans="1:6" hidden="1" x14ac:dyDescent="0.55000000000000004">
      <c r="C54" s="35" t="s">
        <v>71</v>
      </c>
      <c r="D54" s="37">
        <v>5585494.8399999999</v>
      </c>
      <c r="E54" s="36">
        <v>3550030.72</v>
      </c>
    </row>
    <row r="55" spans="1:6" hidden="1" x14ac:dyDescent="0.55000000000000004">
      <c r="C55" s="35" t="s">
        <v>72</v>
      </c>
      <c r="D55" s="37">
        <v>0</v>
      </c>
      <c r="E55" s="37">
        <v>2243918.06</v>
      </c>
    </row>
    <row r="56" spans="1:6" hidden="1" x14ac:dyDescent="0.55000000000000004">
      <c r="C56" s="35" t="s">
        <v>73</v>
      </c>
      <c r="D56" s="38">
        <v>53307230.539999992</v>
      </c>
      <c r="E56" s="38">
        <v>7886217.049999997</v>
      </c>
    </row>
    <row r="57" spans="1:6" hidden="1" x14ac:dyDescent="0.55000000000000004">
      <c r="D57" s="36">
        <f>SUM(D50:D56)</f>
        <v>303121032.75999999</v>
      </c>
      <c r="E57" s="36">
        <f>SUM(E50:E56)</f>
        <v>81059617.11999999</v>
      </c>
    </row>
    <row r="58" spans="1:6" ht="24.75" hidden="1" thickBot="1" x14ac:dyDescent="0.6">
      <c r="D58" s="39">
        <f>+D48-D57</f>
        <v>0</v>
      </c>
      <c r="E58" s="39">
        <f>+E48-E57</f>
        <v>0</v>
      </c>
    </row>
    <row r="59" spans="1:6" ht="24.75" hidden="1" thickTop="1" x14ac:dyDescent="0.55000000000000004"/>
    <row r="60" spans="1:6" hidden="1" x14ac:dyDescent="0.55000000000000004"/>
    <row r="61" spans="1:6" hidden="1" x14ac:dyDescent="0.55000000000000004"/>
    <row r="62" spans="1:6" s="42" customFormat="1" ht="28.5" thickTop="1" x14ac:dyDescent="0.65">
      <c r="A62" s="48" t="s">
        <v>74</v>
      </c>
      <c r="B62" s="40"/>
      <c r="C62" s="40"/>
      <c r="D62" s="41"/>
      <c r="E62" s="41"/>
      <c r="F62" s="41"/>
    </row>
    <row r="63" spans="1:6" s="42" customFormat="1" ht="27.75" x14ac:dyDescent="0.65">
      <c r="A63" s="43">
        <v>1</v>
      </c>
      <c r="B63" s="40" t="s">
        <v>75</v>
      </c>
      <c r="C63" s="40" t="s">
        <v>76</v>
      </c>
      <c r="D63" s="41"/>
      <c r="E63" s="41"/>
      <c r="F63" s="41"/>
    </row>
    <row r="64" spans="1:6" s="42" customFormat="1" ht="27.75" x14ac:dyDescent="0.65">
      <c r="A64" s="43">
        <v>2</v>
      </c>
      <c r="B64" s="40" t="s">
        <v>77</v>
      </c>
      <c r="C64" s="40" t="s">
        <v>78</v>
      </c>
      <c r="D64" s="41"/>
      <c r="E64" s="41"/>
      <c r="F64" s="41"/>
    </row>
    <row r="65" spans="1:6" s="47" customFormat="1" x14ac:dyDescent="0.55000000000000004">
      <c r="A65" s="44"/>
      <c r="B65" s="45"/>
      <c r="C65" s="45"/>
      <c r="D65" s="46"/>
      <c r="E65" s="46"/>
      <c r="F65" s="46"/>
    </row>
  </sheetData>
  <mergeCells count="20">
    <mergeCell ref="A1:F2"/>
    <mergeCell ref="G1:AE2"/>
    <mergeCell ref="A3:A5"/>
    <mergeCell ref="B3:B5"/>
    <mergeCell ref="C3:C5"/>
    <mergeCell ref="D3:F3"/>
    <mergeCell ref="G3:AE3"/>
    <mergeCell ref="D4:D5"/>
    <mergeCell ref="E4:E5"/>
    <mergeCell ref="F4:F5"/>
    <mergeCell ref="Y4:Y5"/>
    <mergeCell ref="Z4:AD4"/>
    <mergeCell ref="AE4:AE5"/>
    <mergeCell ref="A48:B48"/>
    <mergeCell ref="G4:K4"/>
    <mergeCell ref="L4:P4"/>
    <mergeCell ref="Q4:Q5"/>
    <mergeCell ref="R4:V4"/>
    <mergeCell ref="W4:W5"/>
    <mergeCell ref="X4:X5"/>
  </mergeCells>
  <pageMargins left="0.39370078740157483" right="0.23622047244094491" top="0.74803149606299213" bottom="0.74803149606299213" header="0.31496062992125984" footer="0.31496062992125984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showGridLines="0" workbookViewId="0">
      <pane xSplit="1" ySplit="6" topLeftCell="B7" activePane="bottomRight" state="frozen"/>
      <selection activeCell="G113" sqref="G113"/>
      <selection pane="topRight" activeCell="G113" sqref="G113"/>
      <selection pane="bottomLeft" activeCell="G113" sqref="G113"/>
      <selection pane="bottomRight" activeCell="D165" sqref="D165"/>
    </sheetView>
  </sheetViews>
  <sheetFormatPr defaultRowHeight="24" x14ac:dyDescent="0.55000000000000004"/>
  <cols>
    <col min="1" max="1" width="5.5" style="85" customWidth="1"/>
    <col min="2" max="2" width="62.75" style="56" customWidth="1"/>
    <col min="3" max="3" width="10.125" style="86" bestFit="1" customWidth="1"/>
    <col min="4" max="4" width="10.125" style="86" customWidth="1"/>
    <col min="5" max="5" width="10.125" style="86" bestFit="1" customWidth="1"/>
    <col min="6" max="6" width="10.875" style="86" bestFit="1" customWidth="1"/>
    <col min="7" max="16384" width="9" style="56"/>
  </cols>
  <sheetData>
    <row r="1" spans="1:6" s="49" customFormat="1" x14ac:dyDescent="0.55000000000000004">
      <c r="A1" s="129" t="s">
        <v>79</v>
      </c>
      <c r="B1" s="129"/>
      <c r="C1" s="129"/>
      <c r="D1" s="129"/>
      <c r="E1" s="129"/>
      <c r="F1" s="129"/>
    </row>
    <row r="2" spans="1:6" s="50" customFormat="1" x14ac:dyDescent="0.55000000000000004">
      <c r="A2" s="130" t="s">
        <v>80</v>
      </c>
      <c r="B2" s="130"/>
      <c r="C2" s="130"/>
      <c r="D2" s="130"/>
      <c r="E2" s="130"/>
      <c r="F2" s="130"/>
    </row>
    <row r="3" spans="1:6" s="50" customFormat="1" ht="5.25" customHeight="1" x14ac:dyDescent="0.55000000000000004">
      <c r="C3" s="51"/>
      <c r="D3" s="51"/>
      <c r="E3" s="51"/>
      <c r="F3" s="51"/>
    </row>
    <row r="4" spans="1:6" s="53" customFormat="1" x14ac:dyDescent="0.55000000000000004">
      <c r="A4" s="131" t="s">
        <v>2</v>
      </c>
      <c r="B4" s="131" t="s">
        <v>81</v>
      </c>
      <c r="C4" s="132" t="s">
        <v>82</v>
      </c>
      <c r="D4" s="133"/>
      <c r="E4" s="134"/>
      <c r="F4" s="52" t="s">
        <v>83</v>
      </c>
    </row>
    <row r="5" spans="1:6" s="53" customFormat="1" x14ac:dyDescent="0.55000000000000004">
      <c r="A5" s="131"/>
      <c r="B5" s="131"/>
      <c r="C5" s="52" t="s">
        <v>84</v>
      </c>
      <c r="D5" s="52" t="s">
        <v>85</v>
      </c>
      <c r="E5" s="52" t="s">
        <v>9</v>
      </c>
      <c r="F5" s="52" t="s">
        <v>86</v>
      </c>
    </row>
    <row r="6" spans="1:6" x14ac:dyDescent="0.55000000000000004">
      <c r="A6" s="54" t="s">
        <v>87</v>
      </c>
      <c r="B6" s="54"/>
      <c r="C6" s="55"/>
      <c r="D6" s="55"/>
      <c r="E6" s="55"/>
      <c r="F6" s="55"/>
    </row>
    <row r="7" spans="1:6" x14ac:dyDescent="0.55000000000000004">
      <c r="A7" s="57" t="s">
        <v>88</v>
      </c>
      <c r="B7" s="58"/>
      <c r="C7" s="55"/>
      <c r="D7" s="55"/>
      <c r="E7" s="55"/>
      <c r="F7" s="55"/>
    </row>
    <row r="8" spans="1:6" x14ac:dyDescent="0.55000000000000004">
      <c r="A8" s="59">
        <v>1</v>
      </c>
      <c r="B8" s="60" t="s">
        <v>89</v>
      </c>
      <c r="C8" s="55">
        <v>534</v>
      </c>
      <c r="D8" s="55">
        <v>243</v>
      </c>
      <c r="E8" s="55">
        <f>SUM(C8:D8)</f>
        <v>777</v>
      </c>
      <c r="F8" s="55">
        <f>+E8/2</f>
        <v>388.5</v>
      </c>
    </row>
    <row r="9" spans="1:6" x14ac:dyDescent="0.55000000000000004">
      <c r="A9" s="59">
        <f>+A8+1</f>
        <v>2</v>
      </c>
      <c r="B9" s="60" t="s">
        <v>90</v>
      </c>
      <c r="C9" s="55">
        <v>231</v>
      </c>
      <c r="D9" s="55">
        <v>145</v>
      </c>
      <c r="E9" s="55">
        <f t="shared" ref="E9:E18" si="0">SUM(C9:D9)</f>
        <v>376</v>
      </c>
      <c r="F9" s="55">
        <f t="shared" ref="F9:F18" si="1">+E9/2</f>
        <v>188</v>
      </c>
    </row>
    <row r="10" spans="1:6" x14ac:dyDescent="0.55000000000000004">
      <c r="A10" s="59">
        <f t="shared" ref="A10:A18" si="2">+A9+1</f>
        <v>3</v>
      </c>
      <c r="B10" s="60" t="s">
        <v>91</v>
      </c>
      <c r="C10" s="55">
        <v>145</v>
      </c>
      <c r="D10" s="55">
        <v>127</v>
      </c>
      <c r="E10" s="55">
        <f t="shared" si="0"/>
        <v>272</v>
      </c>
      <c r="F10" s="55">
        <f t="shared" si="1"/>
        <v>136</v>
      </c>
    </row>
    <row r="11" spans="1:6" x14ac:dyDescent="0.55000000000000004">
      <c r="A11" s="59">
        <f t="shared" si="2"/>
        <v>4</v>
      </c>
      <c r="B11" s="60" t="s">
        <v>92</v>
      </c>
      <c r="C11" s="55">
        <v>198</v>
      </c>
      <c r="D11" s="55">
        <v>198</v>
      </c>
      <c r="E11" s="55">
        <f t="shared" si="0"/>
        <v>396</v>
      </c>
      <c r="F11" s="55">
        <f t="shared" si="1"/>
        <v>198</v>
      </c>
    </row>
    <row r="12" spans="1:6" x14ac:dyDescent="0.55000000000000004">
      <c r="A12" s="59">
        <f t="shared" si="2"/>
        <v>5</v>
      </c>
      <c r="B12" s="60" t="s">
        <v>93</v>
      </c>
      <c r="C12" s="55">
        <v>161</v>
      </c>
      <c r="D12" s="55">
        <v>159</v>
      </c>
      <c r="E12" s="55">
        <f t="shared" si="0"/>
        <v>320</v>
      </c>
      <c r="F12" s="55">
        <f t="shared" si="1"/>
        <v>160</v>
      </c>
    </row>
    <row r="13" spans="1:6" x14ac:dyDescent="0.55000000000000004">
      <c r="A13" s="59">
        <f t="shared" si="2"/>
        <v>6</v>
      </c>
      <c r="B13" s="60" t="s">
        <v>94</v>
      </c>
      <c r="C13" s="55">
        <v>156</v>
      </c>
      <c r="D13" s="55">
        <v>154</v>
      </c>
      <c r="E13" s="55">
        <f t="shared" si="0"/>
        <v>310</v>
      </c>
      <c r="F13" s="55">
        <f t="shared" si="1"/>
        <v>155</v>
      </c>
    </row>
    <row r="14" spans="1:6" x14ac:dyDescent="0.55000000000000004">
      <c r="A14" s="59">
        <f t="shared" si="2"/>
        <v>7</v>
      </c>
      <c r="B14" s="60" t="s">
        <v>95</v>
      </c>
      <c r="C14" s="55">
        <v>193</v>
      </c>
      <c r="D14" s="55">
        <v>143</v>
      </c>
      <c r="E14" s="55">
        <f t="shared" si="0"/>
        <v>336</v>
      </c>
      <c r="F14" s="55">
        <f t="shared" si="1"/>
        <v>168</v>
      </c>
    </row>
    <row r="15" spans="1:6" x14ac:dyDescent="0.55000000000000004">
      <c r="A15" s="59">
        <f t="shared" si="2"/>
        <v>8</v>
      </c>
      <c r="B15" s="60" t="s">
        <v>96</v>
      </c>
      <c r="C15" s="55">
        <v>66</v>
      </c>
      <c r="D15" s="55">
        <v>55</v>
      </c>
      <c r="E15" s="55">
        <f t="shared" si="0"/>
        <v>121</v>
      </c>
      <c r="F15" s="55">
        <f t="shared" si="1"/>
        <v>60.5</v>
      </c>
    </row>
    <row r="16" spans="1:6" x14ac:dyDescent="0.55000000000000004">
      <c r="A16" s="59">
        <f t="shared" si="2"/>
        <v>9</v>
      </c>
      <c r="B16" s="61" t="s">
        <v>97</v>
      </c>
      <c r="C16" s="55">
        <v>42</v>
      </c>
      <c r="D16" s="55">
        <v>41</v>
      </c>
      <c r="E16" s="55">
        <f t="shared" si="0"/>
        <v>83</v>
      </c>
      <c r="F16" s="55">
        <f t="shared" si="1"/>
        <v>41.5</v>
      </c>
    </row>
    <row r="17" spans="1:7" x14ac:dyDescent="0.55000000000000004">
      <c r="A17" s="59">
        <f t="shared" si="2"/>
        <v>10</v>
      </c>
      <c r="B17" s="60" t="s">
        <v>98</v>
      </c>
      <c r="C17" s="55">
        <v>0</v>
      </c>
      <c r="D17" s="55">
        <v>136</v>
      </c>
      <c r="E17" s="55">
        <f t="shared" si="0"/>
        <v>136</v>
      </c>
      <c r="F17" s="55">
        <f t="shared" si="1"/>
        <v>68</v>
      </c>
    </row>
    <row r="18" spans="1:7" x14ac:dyDescent="0.55000000000000004">
      <c r="A18" s="59">
        <f t="shared" si="2"/>
        <v>11</v>
      </c>
      <c r="B18" s="60" t="s">
        <v>99</v>
      </c>
      <c r="C18" s="55">
        <v>0</v>
      </c>
      <c r="D18" s="55">
        <v>89</v>
      </c>
      <c r="E18" s="55">
        <f t="shared" si="0"/>
        <v>89</v>
      </c>
      <c r="F18" s="55">
        <f t="shared" si="1"/>
        <v>44.5</v>
      </c>
    </row>
    <row r="19" spans="1:7" x14ac:dyDescent="0.55000000000000004">
      <c r="A19" s="62" t="s">
        <v>100</v>
      </c>
      <c r="B19" s="60"/>
      <c r="C19" s="55"/>
      <c r="D19" s="55"/>
      <c r="E19" s="55"/>
      <c r="F19" s="55"/>
    </row>
    <row r="20" spans="1:7" x14ac:dyDescent="0.55000000000000004">
      <c r="A20" s="59">
        <v>1</v>
      </c>
      <c r="B20" s="60" t="s">
        <v>101</v>
      </c>
      <c r="C20" s="55"/>
      <c r="D20" s="55">
        <v>73</v>
      </c>
      <c r="E20" s="55">
        <f>SUM(C20:D20)</f>
        <v>73</v>
      </c>
      <c r="F20" s="55">
        <f>+E20/2</f>
        <v>36.5</v>
      </c>
    </row>
    <row r="21" spans="1:7" x14ac:dyDescent="0.55000000000000004">
      <c r="A21" s="59">
        <v>2</v>
      </c>
      <c r="B21" s="60" t="s">
        <v>102</v>
      </c>
      <c r="C21" s="55"/>
      <c r="D21" s="55">
        <v>16</v>
      </c>
      <c r="E21" s="55">
        <f>SUM(C21:D21)</f>
        <v>16</v>
      </c>
      <c r="F21" s="55">
        <f>+E21/2</f>
        <v>8</v>
      </c>
      <c r="G21" s="63">
        <f>SUM(F8:F21)</f>
        <v>1652.5</v>
      </c>
    </row>
    <row r="22" spans="1:7" x14ac:dyDescent="0.55000000000000004">
      <c r="A22" s="57" t="s">
        <v>103</v>
      </c>
      <c r="B22" s="58"/>
      <c r="C22" s="55"/>
      <c r="D22" s="55"/>
      <c r="E22" s="55"/>
      <c r="F22" s="55"/>
    </row>
    <row r="23" spans="1:7" x14ac:dyDescent="0.55000000000000004">
      <c r="A23" s="59">
        <v>1</v>
      </c>
      <c r="B23" s="60" t="s">
        <v>104</v>
      </c>
      <c r="C23" s="55">
        <v>261</v>
      </c>
      <c r="D23" s="55">
        <v>241</v>
      </c>
      <c r="E23" s="55">
        <f>SUM(C23:D23)</f>
        <v>502</v>
      </c>
      <c r="F23" s="55">
        <f>+E23/2</f>
        <v>251</v>
      </c>
    </row>
    <row r="24" spans="1:7" x14ac:dyDescent="0.55000000000000004">
      <c r="A24" s="64"/>
      <c r="B24" s="65" t="s">
        <v>9</v>
      </c>
      <c r="C24" s="66">
        <f>SUM(C8:C23)</f>
        <v>1987</v>
      </c>
      <c r="D24" s="66">
        <f t="shared" ref="D24:F24" si="3">SUM(D8:D23)</f>
        <v>1820</v>
      </c>
      <c r="E24" s="66">
        <f t="shared" si="3"/>
        <v>3807</v>
      </c>
      <c r="F24" s="66">
        <f t="shared" si="3"/>
        <v>1903.5</v>
      </c>
    </row>
    <row r="25" spans="1:7" x14ac:dyDescent="0.55000000000000004">
      <c r="A25" s="54" t="s">
        <v>105</v>
      </c>
      <c r="B25" s="54"/>
      <c r="C25" s="55"/>
      <c r="D25" s="55"/>
      <c r="E25" s="55"/>
      <c r="F25" s="55"/>
    </row>
    <row r="26" spans="1:7" x14ac:dyDescent="0.55000000000000004">
      <c r="A26" s="59">
        <v>1</v>
      </c>
      <c r="B26" s="60" t="s">
        <v>106</v>
      </c>
      <c r="C26" s="55">
        <v>221</v>
      </c>
      <c r="D26" s="55">
        <f>24+189</f>
        <v>213</v>
      </c>
      <c r="E26" s="55">
        <f t="shared" ref="E26:E33" si="4">SUM(C26:D26)</f>
        <v>434</v>
      </c>
      <c r="F26" s="55">
        <f t="shared" ref="F26:F33" si="5">+E26/2</f>
        <v>217</v>
      </c>
    </row>
    <row r="27" spans="1:7" x14ac:dyDescent="0.55000000000000004">
      <c r="A27" s="59">
        <f>+A26+1</f>
        <v>2</v>
      </c>
      <c r="B27" s="60" t="s">
        <v>107</v>
      </c>
      <c r="C27" s="55">
        <v>174</v>
      </c>
      <c r="D27" s="55">
        <v>167</v>
      </c>
      <c r="E27" s="55">
        <f t="shared" si="4"/>
        <v>341</v>
      </c>
      <c r="F27" s="55">
        <f t="shared" si="5"/>
        <v>170.5</v>
      </c>
    </row>
    <row r="28" spans="1:7" x14ac:dyDescent="0.55000000000000004">
      <c r="A28" s="59">
        <f t="shared" ref="A28:A33" si="6">+A27+1</f>
        <v>3</v>
      </c>
      <c r="B28" s="60" t="s">
        <v>108</v>
      </c>
      <c r="C28" s="55">
        <v>186</v>
      </c>
      <c r="D28" s="55">
        <v>177</v>
      </c>
      <c r="E28" s="55">
        <f t="shared" si="4"/>
        <v>363</v>
      </c>
      <c r="F28" s="55">
        <f t="shared" si="5"/>
        <v>181.5</v>
      </c>
    </row>
    <row r="29" spans="1:7" x14ac:dyDescent="0.55000000000000004">
      <c r="A29" s="59">
        <f t="shared" si="6"/>
        <v>4</v>
      </c>
      <c r="B29" s="60" t="s">
        <v>109</v>
      </c>
      <c r="C29" s="55">
        <v>153</v>
      </c>
      <c r="D29" s="55">
        <v>165</v>
      </c>
      <c r="E29" s="55">
        <f t="shared" si="4"/>
        <v>318</v>
      </c>
      <c r="F29" s="55">
        <f t="shared" si="5"/>
        <v>159</v>
      </c>
    </row>
    <row r="30" spans="1:7" x14ac:dyDescent="0.55000000000000004">
      <c r="A30" s="59">
        <f t="shared" si="6"/>
        <v>5</v>
      </c>
      <c r="B30" s="60" t="s">
        <v>110</v>
      </c>
      <c r="C30" s="55">
        <v>113</v>
      </c>
      <c r="D30" s="55">
        <v>101</v>
      </c>
      <c r="E30" s="55">
        <f t="shared" si="4"/>
        <v>214</v>
      </c>
      <c r="F30" s="55">
        <f t="shared" si="5"/>
        <v>107</v>
      </c>
    </row>
    <row r="31" spans="1:7" x14ac:dyDescent="0.55000000000000004">
      <c r="A31" s="59">
        <f t="shared" si="6"/>
        <v>6</v>
      </c>
      <c r="B31" s="61" t="s">
        <v>111</v>
      </c>
      <c r="C31" s="55">
        <v>44</v>
      </c>
      <c r="D31" s="55">
        <v>42</v>
      </c>
      <c r="E31" s="55">
        <f t="shared" si="4"/>
        <v>86</v>
      </c>
      <c r="F31" s="55">
        <f t="shared" si="5"/>
        <v>43</v>
      </c>
    </row>
    <row r="32" spans="1:7" x14ac:dyDescent="0.55000000000000004">
      <c r="A32" s="59">
        <f t="shared" si="6"/>
        <v>7</v>
      </c>
      <c r="B32" s="60" t="s">
        <v>112</v>
      </c>
      <c r="C32" s="55">
        <v>154</v>
      </c>
      <c r="D32" s="55">
        <v>153</v>
      </c>
      <c r="E32" s="55">
        <f t="shared" si="4"/>
        <v>307</v>
      </c>
      <c r="F32" s="55">
        <f t="shared" si="5"/>
        <v>153.5</v>
      </c>
    </row>
    <row r="33" spans="1:6" x14ac:dyDescent="0.55000000000000004">
      <c r="A33" s="59">
        <f t="shared" si="6"/>
        <v>8</v>
      </c>
      <c r="B33" s="60" t="s">
        <v>113</v>
      </c>
      <c r="C33" s="55">
        <v>173</v>
      </c>
      <c r="D33" s="55">
        <v>166</v>
      </c>
      <c r="E33" s="55">
        <f t="shared" si="4"/>
        <v>339</v>
      </c>
      <c r="F33" s="55">
        <f t="shared" si="5"/>
        <v>169.5</v>
      </c>
    </row>
    <row r="34" spans="1:6" x14ac:dyDescent="0.55000000000000004">
      <c r="A34" s="64"/>
      <c r="B34" s="65" t="s">
        <v>9</v>
      </c>
      <c r="C34" s="66">
        <f>SUM(C26:C33)</f>
        <v>1218</v>
      </c>
      <c r="D34" s="66">
        <f t="shared" ref="D34:F34" si="7">SUM(D26:D33)</f>
        <v>1184</v>
      </c>
      <c r="E34" s="66">
        <f t="shared" si="7"/>
        <v>2402</v>
      </c>
      <c r="F34" s="66">
        <f t="shared" si="7"/>
        <v>1201</v>
      </c>
    </row>
    <row r="35" spans="1:6" x14ac:dyDescent="0.55000000000000004">
      <c r="A35" s="54" t="s">
        <v>114</v>
      </c>
      <c r="B35" s="54"/>
      <c r="C35" s="55"/>
      <c r="D35" s="55"/>
      <c r="E35" s="55"/>
      <c r="F35" s="55"/>
    </row>
    <row r="36" spans="1:6" x14ac:dyDescent="0.55000000000000004">
      <c r="A36" s="59">
        <v>1</v>
      </c>
      <c r="B36" s="60" t="s">
        <v>115</v>
      </c>
      <c r="C36" s="55">
        <v>23</v>
      </c>
      <c r="D36" s="55">
        <v>20</v>
      </c>
      <c r="E36" s="55">
        <f t="shared" ref="E36:E46" si="8">SUM(C36:D36)</f>
        <v>43</v>
      </c>
      <c r="F36" s="55">
        <f t="shared" ref="F36:F46" si="9">+E36/2</f>
        <v>21.5</v>
      </c>
    </row>
    <row r="37" spans="1:6" x14ac:dyDescent="0.55000000000000004">
      <c r="A37" s="59">
        <f>+A36+1</f>
        <v>2</v>
      </c>
      <c r="B37" s="60" t="s">
        <v>116</v>
      </c>
      <c r="C37" s="55">
        <v>210</v>
      </c>
      <c r="D37" s="55">
        <v>143</v>
      </c>
      <c r="E37" s="55">
        <f t="shared" si="8"/>
        <v>353</v>
      </c>
      <c r="F37" s="55">
        <f t="shared" si="9"/>
        <v>176.5</v>
      </c>
    </row>
    <row r="38" spans="1:6" x14ac:dyDescent="0.55000000000000004">
      <c r="A38" s="59">
        <f t="shared" ref="A38:A46" si="10">+A37+1</f>
        <v>3</v>
      </c>
      <c r="B38" s="60" t="s">
        <v>117</v>
      </c>
      <c r="C38" s="55">
        <v>211</v>
      </c>
      <c r="D38" s="55">
        <v>101</v>
      </c>
      <c r="E38" s="55">
        <f t="shared" si="8"/>
        <v>312</v>
      </c>
      <c r="F38" s="55">
        <f t="shared" si="9"/>
        <v>156</v>
      </c>
    </row>
    <row r="39" spans="1:6" x14ac:dyDescent="0.55000000000000004">
      <c r="A39" s="59">
        <f t="shared" si="10"/>
        <v>4</v>
      </c>
      <c r="B39" s="60" t="s">
        <v>118</v>
      </c>
      <c r="C39" s="55">
        <v>111</v>
      </c>
      <c r="D39" s="55">
        <v>68</v>
      </c>
      <c r="E39" s="55">
        <f t="shared" si="8"/>
        <v>179</v>
      </c>
      <c r="F39" s="55">
        <f t="shared" si="9"/>
        <v>89.5</v>
      </c>
    </row>
    <row r="40" spans="1:6" x14ac:dyDescent="0.55000000000000004">
      <c r="A40" s="59">
        <f t="shared" si="10"/>
        <v>5</v>
      </c>
      <c r="B40" s="61" t="s">
        <v>119</v>
      </c>
      <c r="C40" s="55">
        <v>183</v>
      </c>
      <c r="D40" s="55">
        <v>120</v>
      </c>
      <c r="E40" s="55">
        <f t="shared" si="8"/>
        <v>303</v>
      </c>
      <c r="F40" s="55">
        <f t="shared" si="9"/>
        <v>151.5</v>
      </c>
    </row>
    <row r="41" spans="1:6" x14ac:dyDescent="0.55000000000000004">
      <c r="A41" s="59">
        <f t="shared" si="10"/>
        <v>6</v>
      </c>
      <c r="B41" s="60" t="s">
        <v>120</v>
      </c>
      <c r="C41" s="55">
        <v>244</v>
      </c>
      <c r="D41" s="55">
        <v>202</v>
      </c>
      <c r="E41" s="55">
        <f t="shared" si="8"/>
        <v>446</v>
      </c>
      <c r="F41" s="55">
        <f t="shared" si="9"/>
        <v>223</v>
      </c>
    </row>
    <row r="42" spans="1:6" x14ac:dyDescent="0.55000000000000004">
      <c r="A42" s="59">
        <f t="shared" si="10"/>
        <v>7</v>
      </c>
      <c r="B42" s="60" t="s">
        <v>121</v>
      </c>
      <c r="C42" s="55">
        <v>59</v>
      </c>
      <c r="D42" s="55">
        <v>49</v>
      </c>
      <c r="E42" s="55">
        <f t="shared" si="8"/>
        <v>108</v>
      </c>
      <c r="F42" s="55">
        <f t="shared" si="9"/>
        <v>54</v>
      </c>
    </row>
    <row r="43" spans="1:6" x14ac:dyDescent="0.55000000000000004">
      <c r="A43" s="59">
        <f t="shared" si="10"/>
        <v>8</v>
      </c>
      <c r="B43" s="60" t="s">
        <v>122</v>
      </c>
      <c r="C43" s="55">
        <v>0</v>
      </c>
      <c r="D43" s="55">
        <v>37</v>
      </c>
      <c r="E43" s="55">
        <f t="shared" si="8"/>
        <v>37</v>
      </c>
      <c r="F43" s="55">
        <f t="shared" si="9"/>
        <v>18.5</v>
      </c>
    </row>
    <row r="44" spans="1:6" x14ac:dyDescent="0.55000000000000004">
      <c r="A44" s="59">
        <f t="shared" si="10"/>
        <v>9</v>
      </c>
      <c r="B44" s="60" t="s">
        <v>123</v>
      </c>
      <c r="C44" s="55"/>
      <c r="D44" s="55">
        <v>59</v>
      </c>
      <c r="E44" s="55">
        <f t="shared" si="8"/>
        <v>59</v>
      </c>
      <c r="F44" s="55">
        <f t="shared" si="9"/>
        <v>29.5</v>
      </c>
    </row>
    <row r="45" spans="1:6" x14ac:dyDescent="0.55000000000000004">
      <c r="A45" s="59">
        <f t="shared" si="10"/>
        <v>10</v>
      </c>
      <c r="B45" s="60" t="s">
        <v>124</v>
      </c>
      <c r="C45" s="55"/>
      <c r="D45" s="55">
        <v>31</v>
      </c>
      <c r="E45" s="55">
        <f t="shared" si="8"/>
        <v>31</v>
      </c>
      <c r="F45" s="55">
        <f t="shared" si="9"/>
        <v>15.5</v>
      </c>
    </row>
    <row r="46" spans="1:6" x14ac:dyDescent="0.55000000000000004">
      <c r="A46" s="59">
        <f t="shared" si="10"/>
        <v>11</v>
      </c>
      <c r="B46" s="61" t="s">
        <v>125</v>
      </c>
      <c r="C46" s="55"/>
      <c r="D46" s="55">
        <v>44</v>
      </c>
      <c r="E46" s="55">
        <f t="shared" si="8"/>
        <v>44</v>
      </c>
      <c r="F46" s="55">
        <f t="shared" si="9"/>
        <v>22</v>
      </c>
    </row>
    <row r="47" spans="1:6" x14ac:dyDescent="0.55000000000000004">
      <c r="A47" s="64"/>
      <c r="B47" s="65" t="s">
        <v>9</v>
      </c>
      <c r="C47" s="66">
        <f>SUM(C36:C46)</f>
        <v>1041</v>
      </c>
      <c r="D47" s="66">
        <f t="shared" ref="D47:F47" si="11">SUM(D36:D46)</f>
        <v>874</v>
      </c>
      <c r="E47" s="66">
        <f t="shared" si="11"/>
        <v>1915</v>
      </c>
      <c r="F47" s="66">
        <f t="shared" si="11"/>
        <v>957.5</v>
      </c>
    </row>
    <row r="48" spans="1:6" s="49" customFormat="1" x14ac:dyDescent="0.55000000000000004">
      <c r="A48" s="127" t="s">
        <v>126</v>
      </c>
      <c r="B48" s="128"/>
      <c r="C48" s="67"/>
      <c r="D48" s="67"/>
      <c r="E48" s="55"/>
      <c r="F48" s="55"/>
    </row>
    <row r="49" spans="1:6" x14ac:dyDescent="0.55000000000000004">
      <c r="A49" s="59">
        <v>1</v>
      </c>
      <c r="B49" s="60" t="s">
        <v>127</v>
      </c>
      <c r="C49" s="55">
        <v>362</v>
      </c>
      <c r="D49" s="55">
        <v>360</v>
      </c>
      <c r="E49" s="55">
        <f t="shared" ref="E49:E50" si="12">SUM(C49:D49)</f>
        <v>722</v>
      </c>
      <c r="F49" s="55">
        <f t="shared" ref="F49:F50" si="13">+E49/2</f>
        <v>361</v>
      </c>
    </row>
    <row r="50" spans="1:6" x14ac:dyDescent="0.55000000000000004">
      <c r="A50" s="59">
        <f>+A49+1</f>
        <v>2</v>
      </c>
      <c r="B50" s="60" t="s">
        <v>128</v>
      </c>
      <c r="C50" s="55">
        <v>189</v>
      </c>
      <c r="D50" s="55">
        <v>183</v>
      </c>
      <c r="E50" s="55">
        <f t="shared" si="12"/>
        <v>372</v>
      </c>
      <c r="F50" s="55">
        <f t="shared" si="13"/>
        <v>186</v>
      </c>
    </row>
    <row r="51" spans="1:6" x14ac:dyDescent="0.55000000000000004">
      <c r="A51" s="64"/>
      <c r="B51" s="65" t="s">
        <v>9</v>
      </c>
      <c r="C51" s="66">
        <f>SUM(C49:C50)</f>
        <v>551</v>
      </c>
      <c r="D51" s="66">
        <f t="shared" ref="D51:F51" si="14">SUM(D49:D50)</f>
        <v>543</v>
      </c>
      <c r="E51" s="66">
        <f t="shared" si="14"/>
        <v>1094</v>
      </c>
      <c r="F51" s="66">
        <f t="shared" si="14"/>
        <v>547</v>
      </c>
    </row>
    <row r="52" spans="1:6" x14ac:dyDescent="0.55000000000000004">
      <c r="A52" s="54" t="s">
        <v>129</v>
      </c>
      <c r="B52" s="54"/>
      <c r="C52" s="55"/>
      <c r="D52" s="55"/>
      <c r="E52" s="55"/>
      <c r="F52" s="55"/>
    </row>
    <row r="53" spans="1:6" x14ac:dyDescent="0.55000000000000004">
      <c r="A53" s="57" t="s">
        <v>130</v>
      </c>
      <c r="B53" s="58"/>
      <c r="C53" s="55"/>
      <c r="D53" s="55"/>
      <c r="E53" s="55"/>
      <c r="F53" s="55"/>
    </row>
    <row r="54" spans="1:6" x14ac:dyDescent="0.55000000000000004">
      <c r="A54" s="68" t="s">
        <v>131</v>
      </c>
      <c r="B54" s="69"/>
      <c r="C54" s="55"/>
      <c r="D54" s="55"/>
      <c r="E54" s="55"/>
      <c r="F54" s="55"/>
    </row>
    <row r="55" spans="1:6" x14ac:dyDescent="0.55000000000000004">
      <c r="A55" s="59">
        <v>1</v>
      </c>
      <c r="B55" s="61" t="s">
        <v>132</v>
      </c>
      <c r="C55" s="55">
        <v>248</v>
      </c>
      <c r="D55" s="55">
        <v>217</v>
      </c>
      <c r="E55" s="55">
        <f t="shared" ref="E55:E60" si="15">SUM(C55:D55)</f>
        <v>465</v>
      </c>
      <c r="F55" s="55">
        <f t="shared" ref="F55:F60" si="16">+E55/2</f>
        <v>232.5</v>
      </c>
    </row>
    <row r="56" spans="1:6" x14ac:dyDescent="0.55000000000000004">
      <c r="A56" s="59">
        <f>+A55+1</f>
        <v>2</v>
      </c>
      <c r="B56" s="70" t="s">
        <v>133</v>
      </c>
      <c r="C56" s="55">
        <v>284</v>
      </c>
      <c r="D56" s="55">
        <v>178</v>
      </c>
      <c r="E56" s="55">
        <f t="shared" si="15"/>
        <v>462</v>
      </c>
      <c r="F56" s="55">
        <f t="shared" si="16"/>
        <v>231</v>
      </c>
    </row>
    <row r="57" spans="1:6" x14ac:dyDescent="0.55000000000000004">
      <c r="A57" s="59">
        <f t="shared" ref="A57:A60" si="17">+A56+1</f>
        <v>3</v>
      </c>
      <c r="B57" s="70" t="s">
        <v>134</v>
      </c>
      <c r="C57" s="55">
        <v>151</v>
      </c>
      <c r="D57" s="55">
        <v>142</v>
      </c>
      <c r="E57" s="55">
        <f t="shared" si="15"/>
        <v>293</v>
      </c>
      <c r="F57" s="55">
        <f t="shared" si="16"/>
        <v>146.5</v>
      </c>
    </row>
    <row r="58" spans="1:6" x14ac:dyDescent="0.55000000000000004">
      <c r="A58" s="59">
        <f t="shared" si="17"/>
        <v>4</v>
      </c>
      <c r="B58" s="61" t="s">
        <v>135</v>
      </c>
      <c r="C58" s="55">
        <v>182</v>
      </c>
      <c r="D58" s="55">
        <v>178</v>
      </c>
      <c r="E58" s="55">
        <f t="shared" si="15"/>
        <v>360</v>
      </c>
      <c r="F58" s="55">
        <f t="shared" si="16"/>
        <v>180</v>
      </c>
    </row>
    <row r="59" spans="1:6" x14ac:dyDescent="0.55000000000000004">
      <c r="A59" s="59">
        <f t="shared" si="17"/>
        <v>5</v>
      </c>
      <c r="B59" s="61" t="s">
        <v>136</v>
      </c>
      <c r="C59" s="55"/>
      <c r="D59" s="55">
        <v>13</v>
      </c>
      <c r="E59" s="55">
        <f t="shared" si="15"/>
        <v>13</v>
      </c>
      <c r="F59" s="55">
        <f t="shared" si="16"/>
        <v>6.5</v>
      </c>
    </row>
    <row r="60" spans="1:6" ht="25.5" customHeight="1" x14ac:dyDescent="0.55000000000000004">
      <c r="A60" s="59">
        <f t="shared" si="17"/>
        <v>6</v>
      </c>
      <c r="B60" s="70" t="s">
        <v>137</v>
      </c>
      <c r="C60" s="55"/>
      <c r="D60" s="55">
        <v>57</v>
      </c>
      <c r="E60" s="55">
        <f t="shared" si="15"/>
        <v>57</v>
      </c>
      <c r="F60" s="55">
        <f t="shared" si="16"/>
        <v>28.5</v>
      </c>
    </row>
    <row r="61" spans="1:6" x14ac:dyDescent="0.55000000000000004">
      <c r="A61" s="71" t="s">
        <v>138</v>
      </c>
      <c r="B61" s="72"/>
      <c r="C61" s="55"/>
      <c r="D61" s="55"/>
      <c r="E61" s="55"/>
      <c r="F61" s="55"/>
    </row>
    <row r="62" spans="1:6" x14ac:dyDescent="0.55000000000000004">
      <c r="A62" s="59">
        <v>1</v>
      </c>
      <c r="B62" s="61" t="s">
        <v>139</v>
      </c>
      <c r="C62" s="55">
        <v>397</v>
      </c>
      <c r="D62" s="55">
        <v>259</v>
      </c>
      <c r="E62" s="55">
        <f t="shared" ref="E62:E66" si="18">SUM(C62:D62)</f>
        <v>656</v>
      </c>
      <c r="F62" s="55">
        <f t="shared" ref="F62:F66" si="19">+E62/2</f>
        <v>328</v>
      </c>
    </row>
    <row r="63" spans="1:6" x14ac:dyDescent="0.55000000000000004">
      <c r="A63" s="59">
        <f>+A62+1</f>
        <v>2</v>
      </c>
      <c r="B63" s="61" t="s">
        <v>140</v>
      </c>
      <c r="C63" s="55">
        <v>362</v>
      </c>
      <c r="D63" s="55">
        <v>271</v>
      </c>
      <c r="E63" s="55">
        <f t="shared" si="18"/>
        <v>633</v>
      </c>
      <c r="F63" s="55">
        <f t="shared" si="19"/>
        <v>316.5</v>
      </c>
    </row>
    <row r="64" spans="1:6" x14ac:dyDescent="0.55000000000000004">
      <c r="A64" s="59">
        <f t="shared" ref="A64:A66" si="20">+A63+1</f>
        <v>3</v>
      </c>
      <c r="B64" s="73" t="s">
        <v>141</v>
      </c>
      <c r="C64" s="55">
        <v>40</v>
      </c>
      <c r="D64" s="55">
        <v>39</v>
      </c>
      <c r="E64" s="55">
        <f t="shared" si="18"/>
        <v>79</v>
      </c>
      <c r="F64" s="55">
        <f t="shared" si="19"/>
        <v>39.5</v>
      </c>
    </row>
    <row r="65" spans="1:7" x14ac:dyDescent="0.55000000000000004">
      <c r="A65" s="59">
        <f t="shared" si="20"/>
        <v>4</v>
      </c>
      <c r="B65" s="61" t="s">
        <v>142</v>
      </c>
      <c r="C65" s="55"/>
      <c r="D65" s="55">
        <v>110</v>
      </c>
      <c r="E65" s="55">
        <f t="shared" si="18"/>
        <v>110</v>
      </c>
      <c r="F65" s="55">
        <f t="shared" si="19"/>
        <v>55</v>
      </c>
    </row>
    <row r="66" spans="1:7" x14ac:dyDescent="0.55000000000000004">
      <c r="A66" s="59">
        <f t="shared" si="20"/>
        <v>5</v>
      </c>
      <c r="B66" s="61" t="s">
        <v>143</v>
      </c>
      <c r="C66" s="55"/>
      <c r="D66" s="55">
        <v>49</v>
      </c>
      <c r="E66" s="55">
        <f t="shared" si="18"/>
        <v>49</v>
      </c>
      <c r="F66" s="55">
        <f t="shared" si="19"/>
        <v>24.5</v>
      </c>
    </row>
    <row r="67" spans="1:7" x14ac:dyDescent="0.55000000000000004">
      <c r="A67" s="62" t="s">
        <v>144</v>
      </c>
      <c r="B67" s="61"/>
      <c r="C67" s="55"/>
      <c r="D67" s="55"/>
      <c r="E67" s="55"/>
      <c r="F67" s="55"/>
    </row>
    <row r="68" spans="1:7" x14ac:dyDescent="0.55000000000000004">
      <c r="A68" s="59">
        <v>1</v>
      </c>
      <c r="B68" s="61" t="s">
        <v>145</v>
      </c>
      <c r="C68" s="55"/>
      <c r="D68" s="55">
        <v>18</v>
      </c>
      <c r="E68" s="55">
        <f>SUM(C68:D68)</f>
        <v>18</v>
      </c>
      <c r="F68" s="55">
        <f>+E68/2</f>
        <v>9</v>
      </c>
      <c r="G68" s="63">
        <f>SUM(F55:F68)</f>
        <v>1597.5</v>
      </c>
    </row>
    <row r="69" spans="1:7" x14ac:dyDescent="0.55000000000000004">
      <c r="A69" s="57" t="s">
        <v>146</v>
      </c>
      <c r="B69" s="58"/>
      <c r="C69" s="55"/>
      <c r="D69" s="55"/>
      <c r="E69" s="55"/>
      <c r="F69" s="55"/>
    </row>
    <row r="70" spans="1:7" x14ac:dyDescent="0.55000000000000004">
      <c r="A70" s="68" t="s">
        <v>147</v>
      </c>
      <c r="B70" s="69"/>
      <c r="C70" s="55"/>
      <c r="D70" s="55"/>
      <c r="E70" s="55"/>
      <c r="F70" s="55"/>
    </row>
    <row r="71" spans="1:7" x14ac:dyDescent="0.55000000000000004">
      <c r="A71" s="59">
        <v>1</v>
      </c>
      <c r="B71" s="61" t="s">
        <v>148</v>
      </c>
      <c r="C71" s="55">
        <v>525</v>
      </c>
      <c r="D71" s="55">
        <v>284</v>
      </c>
      <c r="E71" s="55">
        <f t="shared" ref="E71:E78" si="21">SUM(C71:D71)</f>
        <v>809</v>
      </c>
      <c r="F71" s="55">
        <f t="shared" ref="F71:F78" si="22">+E71/2</f>
        <v>404.5</v>
      </c>
    </row>
    <row r="72" spans="1:7" x14ac:dyDescent="0.55000000000000004">
      <c r="A72" s="59">
        <f>+A71+1</f>
        <v>2</v>
      </c>
      <c r="B72" s="70" t="s">
        <v>149</v>
      </c>
      <c r="C72" s="55">
        <v>219</v>
      </c>
      <c r="D72" s="55">
        <v>34</v>
      </c>
      <c r="E72" s="55">
        <f t="shared" si="21"/>
        <v>253</v>
      </c>
      <c r="F72" s="55">
        <f t="shared" si="22"/>
        <v>126.5</v>
      </c>
    </row>
    <row r="73" spans="1:7" s="49" customFormat="1" x14ac:dyDescent="0.55000000000000004">
      <c r="A73" s="59">
        <f t="shared" ref="A73:A78" si="23">+A72+1</f>
        <v>3</v>
      </c>
      <c r="B73" s="70" t="s">
        <v>150</v>
      </c>
      <c r="C73" s="74">
        <v>107</v>
      </c>
      <c r="D73" s="74">
        <v>35</v>
      </c>
      <c r="E73" s="55">
        <f t="shared" si="21"/>
        <v>142</v>
      </c>
      <c r="F73" s="55">
        <f t="shared" si="22"/>
        <v>71</v>
      </c>
    </row>
    <row r="74" spans="1:7" x14ac:dyDescent="0.55000000000000004">
      <c r="A74" s="59">
        <f t="shared" si="23"/>
        <v>4</v>
      </c>
      <c r="B74" s="70" t="s">
        <v>151</v>
      </c>
      <c r="C74" s="55">
        <v>17</v>
      </c>
      <c r="D74" s="55"/>
      <c r="E74" s="55">
        <f t="shared" si="21"/>
        <v>17</v>
      </c>
      <c r="F74" s="55">
        <f t="shared" si="22"/>
        <v>8.5</v>
      </c>
    </row>
    <row r="75" spans="1:7" x14ac:dyDescent="0.55000000000000004">
      <c r="A75" s="59">
        <f t="shared" si="23"/>
        <v>5</v>
      </c>
      <c r="B75" s="70" t="s">
        <v>152</v>
      </c>
      <c r="C75" s="55">
        <v>1</v>
      </c>
      <c r="D75" s="55"/>
      <c r="E75" s="55">
        <f t="shared" si="21"/>
        <v>1</v>
      </c>
      <c r="F75" s="55">
        <f t="shared" si="22"/>
        <v>0.5</v>
      </c>
    </row>
    <row r="76" spans="1:7" x14ac:dyDescent="0.55000000000000004">
      <c r="A76" s="59">
        <f t="shared" si="23"/>
        <v>6</v>
      </c>
      <c r="B76" s="61" t="s">
        <v>153</v>
      </c>
      <c r="C76" s="55"/>
      <c r="D76" s="55">
        <v>51</v>
      </c>
      <c r="E76" s="55">
        <f t="shared" si="21"/>
        <v>51</v>
      </c>
      <c r="F76" s="55">
        <f t="shared" si="22"/>
        <v>25.5</v>
      </c>
    </row>
    <row r="77" spans="1:7" x14ac:dyDescent="0.55000000000000004">
      <c r="A77" s="59">
        <f t="shared" si="23"/>
        <v>7</v>
      </c>
      <c r="B77" s="61" t="s">
        <v>154</v>
      </c>
      <c r="C77" s="55"/>
      <c r="D77" s="55">
        <v>1</v>
      </c>
      <c r="E77" s="55">
        <f t="shared" si="21"/>
        <v>1</v>
      </c>
      <c r="F77" s="55">
        <f t="shared" si="22"/>
        <v>0.5</v>
      </c>
    </row>
    <row r="78" spans="1:7" ht="28.5" customHeight="1" x14ac:dyDescent="0.55000000000000004">
      <c r="A78" s="59">
        <f t="shared" si="23"/>
        <v>8</v>
      </c>
      <c r="B78" s="70" t="s">
        <v>155</v>
      </c>
      <c r="C78" s="55"/>
      <c r="D78" s="55">
        <v>78</v>
      </c>
      <c r="E78" s="55">
        <f t="shared" si="21"/>
        <v>78</v>
      </c>
      <c r="F78" s="55">
        <f t="shared" si="22"/>
        <v>39</v>
      </c>
    </row>
    <row r="79" spans="1:7" x14ac:dyDescent="0.55000000000000004">
      <c r="A79" s="71" t="s">
        <v>156</v>
      </c>
      <c r="B79" s="72"/>
      <c r="C79" s="55"/>
      <c r="D79" s="55"/>
      <c r="E79" s="55"/>
      <c r="F79" s="55"/>
    </row>
    <row r="80" spans="1:7" x14ac:dyDescent="0.55000000000000004">
      <c r="A80" s="59">
        <v>1</v>
      </c>
      <c r="B80" s="61" t="s">
        <v>157</v>
      </c>
      <c r="C80" s="55">
        <v>640</v>
      </c>
      <c r="D80" s="55">
        <v>330</v>
      </c>
      <c r="E80" s="55">
        <f t="shared" ref="E80:E82" si="24">SUM(C80:D80)</f>
        <v>970</v>
      </c>
      <c r="F80" s="55">
        <f t="shared" ref="F80:F82" si="25">+E80/2</f>
        <v>485</v>
      </c>
    </row>
    <row r="81" spans="1:7" x14ac:dyDescent="0.55000000000000004">
      <c r="A81" s="59">
        <f>+A80+1</f>
        <v>2</v>
      </c>
      <c r="B81" s="61" t="s">
        <v>158</v>
      </c>
      <c r="C81" s="55">
        <v>189</v>
      </c>
      <c r="D81" s="55">
        <v>174</v>
      </c>
      <c r="E81" s="55">
        <f t="shared" si="24"/>
        <v>363</v>
      </c>
      <c r="F81" s="55">
        <f t="shared" si="25"/>
        <v>181.5</v>
      </c>
    </row>
    <row r="82" spans="1:7" x14ac:dyDescent="0.55000000000000004">
      <c r="A82" s="59">
        <f>+A81+1</f>
        <v>3</v>
      </c>
      <c r="B82" s="61" t="s">
        <v>159</v>
      </c>
      <c r="C82" s="55"/>
      <c r="D82" s="55">
        <v>108</v>
      </c>
      <c r="E82" s="55">
        <f t="shared" si="24"/>
        <v>108</v>
      </c>
      <c r="F82" s="55">
        <f t="shared" si="25"/>
        <v>54</v>
      </c>
    </row>
    <row r="83" spans="1:7" x14ac:dyDescent="0.55000000000000004">
      <c r="A83" s="62" t="s">
        <v>160</v>
      </c>
      <c r="B83" s="61"/>
      <c r="C83" s="55"/>
      <c r="D83" s="55"/>
      <c r="E83" s="55"/>
      <c r="F83" s="55"/>
    </row>
    <row r="84" spans="1:7" x14ac:dyDescent="0.55000000000000004">
      <c r="A84" s="59">
        <v>1</v>
      </c>
      <c r="B84" s="61" t="s">
        <v>161</v>
      </c>
      <c r="C84" s="55"/>
      <c r="D84" s="55">
        <v>90</v>
      </c>
      <c r="E84" s="55">
        <f t="shared" ref="E84:E86" si="26">SUM(C84:D84)</f>
        <v>90</v>
      </c>
      <c r="F84" s="55">
        <f t="shared" ref="F84:F86" si="27">+E84/2</f>
        <v>45</v>
      </c>
    </row>
    <row r="85" spans="1:7" x14ac:dyDescent="0.55000000000000004">
      <c r="A85" s="59">
        <v>2</v>
      </c>
      <c r="B85" s="61" t="s">
        <v>162</v>
      </c>
      <c r="C85" s="55"/>
      <c r="D85" s="55">
        <v>90</v>
      </c>
      <c r="E85" s="55">
        <f t="shared" si="26"/>
        <v>90</v>
      </c>
      <c r="F85" s="55">
        <f t="shared" si="27"/>
        <v>45</v>
      </c>
    </row>
    <row r="86" spans="1:7" x14ac:dyDescent="0.55000000000000004">
      <c r="A86" s="59">
        <v>3</v>
      </c>
      <c r="B86" s="75" t="s">
        <v>163</v>
      </c>
      <c r="C86" s="55"/>
      <c r="D86" s="55">
        <v>57</v>
      </c>
      <c r="E86" s="55">
        <f t="shared" si="26"/>
        <v>57</v>
      </c>
      <c r="F86" s="55">
        <f t="shared" si="27"/>
        <v>28.5</v>
      </c>
    </row>
    <row r="87" spans="1:7" x14ac:dyDescent="0.55000000000000004">
      <c r="A87" s="62" t="s">
        <v>164</v>
      </c>
      <c r="B87" s="61"/>
      <c r="C87" s="55"/>
      <c r="D87" s="55"/>
      <c r="E87" s="55"/>
      <c r="F87" s="55"/>
    </row>
    <row r="88" spans="1:7" x14ac:dyDescent="0.55000000000000004">
      <c r="A88" s="59">
        <v>1</v>
      </c>
      <c r="B88" s="61" t="s">
        <v>165</v>
      </c>
      <c r="C88" s="55"/>
      <c r="D88" s="55">
        <v>132</v>
      </c>
      <c r="E88" s="55">
        <f>SUM(C88:D88)</f>
        <v>132</v>
      </c>
      <c r="F88" s="55">
        <f>+E88/2</f>
        <v>66</v>
      </c>
      <c r="G88" s="63">
        <f>SUM(F71:F88)</f>
        <v>1581</v>
      </c>
    </row>
    <row r="89" spans="1:7" x14ac:dyDescent="0.55000000000000004">
      <c r="A89" s="57" t="s">
        <v>166</v>
      </c>
      <c r="B89" s="58"/>
      <c r="C89" s="55"/>
      <c r="D89" s="55"/>
      <c r="E89" s="55"/>
      <c r="F89" s="55"/>
    </row>
    <row r="90" spans="1:7" x14ac:dyDescent="0.55000000000000004">
      <c r="A90" s="68" t="s">
        <v>167</v>
      </c>
      <c r="B90" s="69"/>
      <c r="C90" s="55"/>
      <c r="D90" s="55"/>
      <c r="E90" s="55"/>
      <c r="F90" s="55"/>
    </row>
    <row r="91" spans="1:7" x14ac:dyDescent="0.55000000000000004">
      <c r="A91" s="59">
        <v>1</v>
      </c>
      <c r="B91" s="61" t="s">
        <v>168</v>
      </c>
      <c r="C91" s="55">
        <v>146</v>
      </c>
      <c r="D91" s="55">
        <v>142</v>
      </c>
      <c r="E91" s="55">
        <f t="shared" ref="E91:E92" si="28">SUM(C91:D91)</f>
        <v>288</v>
      </c>
      <c r="F91" s="55">
        <f t="shared" ref="F91:F92" si="29">+E91/2</f>
        <v>144</v>
      </c>
    </row>
    <row r="92" spans="1:7" x14ac:dyDescent="0.55000000000000004">
      <c r="A92" s="59">
        <f>+A91+1</f>
        <v>2</v>
      </c>
      <c r="B92" s="70" t="s">
        <v>169</v>
      </c>
      <c r="C92" s="55">
        <v>318</v>
      </c>
      <c r="D92" s="55">
        <v>311</v>
      </c>
      <c r="E92" s="55">
        <f t="shared" si="28"/>
        <v>629</v>
      </c>
      <c r="F92" s="55">
        <f t="shared" si="29"/>
        <v>314.5</v>
      </c>
      <c r="G92" s="63"/>
    </row>
    <row r="93" spans="1:7" x14ac:dyDescent="0.55000000000000004">
      <c r="A93" s="71" t="s">
        <v>170</v>
      </c>
      <c r="B93" s="72"/>
      <c r="C93" s="55"/>
      <c r="D93" s="55"/>
      <c r="E93" s="55"/>
      <c r="F93" s="55"/>
    </row>
    <row r="94" spans="1:7" x14ac:dyDescent="0.55000000000000004">
      <c r="A94" s="59">
        <v>1</v>
      </c>
      <c r="B94" s="61" t="s">
        <v>171</v>
      </c>
      <c r="C94" s="55">
        <v>566</v>
      </c>
      <c r="D94" s="55">
        <v>424</v>
      </c>
      <c r="E94" s="55">
        <f t="shared" ref="E94:E100" si="30">SUM(C94:D94)</f>
        <v>990</v>
      </c>
      <c r="F94" s="55">
        <f t="shared" ref="F94:F100" si="31">+E94/2</f>
        <v>495</v>
      </c>
    </row>
    <row r="95" spans="1:7" x14ac:dyDescent="0.55000000000000004">
      <c r="A95" s="59">
        <f>+A94+1</f>
        <v>2</v>
      </c>
      <c r="B95" s="61" t="s">
        <v>172</v>
      </c>
      <c r="C95" s="55">
        <v>276</v>
      </c>
      <c r="D95" s="55">
        <v>157</v>
      </c>
      <c r="E95" s="55">
        <f t="shared" si="30"/>
        <v>433</v>
      </c>
      <c r="F95" s="55">
        <f t="shared" si="31"/>
        <v>216.5</v>
      </c>
    </row>
    <row r="96" spans="1:7" x14ac:dyDescent="0.55000000000000004">
      <c r="A96" s="59">
        <f t="shared" ref="A96:A100" si="32">+A95+1</f>
        <v>3</v>
      </c>
      <c r="B96" s="61" t="s">
        <v>173</v>
      </c>
      <c r="C96" s="55">
        <v>214</v>
      </c>
      <c r="D96" s="55">
        <v>210</v>
      </c>
      <c r="E96" s="55">
        <f t="shared" si="30"/>
        <v>424</v>
      </c>
      <c r="F96" s="55">
        <f t="shared" si="31"/>
        <v>212</v>
      </c>
    </row>
    <row r="97" spans="1:6" s="49" customFormat="1" x14ac:dyDescent="0.55000000000000004">
      <c r="A97" s="59">
        <f t="shared" si="32"/>
        <v>4</v>
      </c>
      <c r="B97" s="61" t="s">
        <v>174</v>
      </c>
      <c r="C97" s="74">
        <v>212</v>
      </c>
      <c r="D97" s="74">
        <v>213</v>
      </c>
      <c r="E97" s="55">
        <f t="shared" si="30"/>
        <v>425</v>
      </c>
      <c r="F97" s="55">
        <f t="shared" si="31"/>
        <v>212.5</v>
      </c>
    </row>
    <row r="98" spans="1:6" x14ac:dyDescent="0.55000000000000004">
      <c r="A98" s="59">
        <f t="shared" si="32"/>
        <v>5</v>
      </c>
      <c r="B98" s="70" t="s">
        <v>175</v>
      </c>
      <c r="C98" s="55">
        <v>17</v>
      </c>
      <c r="D98" s="55">
        <v>15</v>
      </c>
      <c r="E98" s="55">
        <f t="shared" si="30"/>
        <v>32</v>
      </c>
      <c r="F98" s="55">
        <f t="shared" si="31"/>
        <v>16</v>
      </c>
    </row>
    <row r="99" spans="1:6" x14ac:dyDescent="0.55000000000000004">
      <c r="A99" s="59">
        <f t="shared" si="32"/>
        <v>6</v>
      </c>
      <c r="B99" s="61" t="s">
        <v>176</v>
      </c>
      <c r="C99" s="55"/>
      <c r="D99" s="55">
        <v>140</v>
      </c>
      <c r="E99" s="55">
        <f t="shared" si="30"/>
        <v>140</v>
      </c>
      <c r="F99" s="55">
        <f t="shared" si="31"/>
        <v>70</v>
      </c>
    </row>
    <row r="100" spans="1:6" x14ac:dyDescent="0.55000000000000004">
      <c r="A100" s="59">
        <f t="shared" si="32"/>
        <v>7</v>
      </c>
      <c r="B100" s="61" t="s">
        <v>177</v>
      </c>
      <c r="C100" s="55"/>
      <c r="D100" s="55">
        <v>47</v>
      </c>
      <c r="E100" s="55">
        <f t="shared" si="30"/>
        <v>47</v>
      </c>
      <c r="F100" s="55">
        <f t="shared" si="31"/>
        <v>23.5</v>
      </c>
    </row>
    <row r="101" spans="1:6" x14ac:dyDescent="0.55000000000000004">
      <c r="A101" s="62" t="s">
        <v>178</v>
      </c>
      <c r="B101" s="70"/>
      <c r="C101" s="55"/>
      <c r="D101" s="55"/>
      <c r="E101" s="55"/>
      <c r="F101" s="55"/>
    </row>
    <row r="102" spans="1:6" x14ac:dyDescent="0.55000000000000004">
      <c r="A102" s="59">
        <v>1</v>
      </c>
      <c r="B102" s="61" t="s">
        <v>179</v>
      </c>
      <c r="C102" s="55"/>
      <c r="D102" s="55">
        <v>67</v>
      </c>
      <c r="E102" s="55">
        <f>SUM(C102:D102)</f>
        <v>67</v>
      </c>
      <c r="F102" s="55">
        <f>+E102/2</f>
        <v>33.5</v>
      </c>
    </row>
    <row r="103" spans="1:6" x14ac:dyDescent="0.55000000000000004">
      <c r="A103" s="76" t="s">
        <v>180</v>
      </c>
      <c r="B103" s="77"/>
      <c r="C103" s="55"/>
      <c r="D103" s="55"/>
      <c r="E103" s="55"/>
      <c r="F103" s="55"/>
    </row>
    <row r="104" spans="1:6" x14ac:dyDescent="0.55000000000000004">
      <c r="A104" s="71" t="s">
        <v>181</v>
      </c>
      <c r="B104" s="72"/>
      <c r="C104" s="55"/>
      <c r="D104" s="55"/>
      <c r="E104" s="55"/>
      <c r="F104" s="55"/>
    </row>
    <row r="105" spans="1:6" x14ac:dyDescent="0.55000000000000004">
      <c r="A105" s="59">
        <v>1</v>
      </c>
      <c r="B105" s="61" t="s">
        <v>182</v>
      </c>
      <c r="C105" s="55">
        <v>100</v>
      </c>
      <c r="D105" s="55"/>
      <c r="E105" s="55">
        <f t="shared" ref="E105:E113" si="33">SUM(C105:D105)</f>
        <v>100</v>
      </c>
      <c r="F105" s="55">
        <f t="shared" ref="F105:F139" si="34">+E105/2</f>
        <v>50</v>
      </c>
    </row>
    <row r="106" spans="1:6" x14ac:dyDescent="0.55000000000000004">
      <c r="A106" s="59">
        <f>+A105+1</f>
        <v>2</v>
      </c>
      <c r="B106" s="61" t="s">
        <v>183</v>
      </c>
      <c r="C106" s="55">
        <v>22</v>
      </c>
      <c r="D106" s="55">
        <v>26</v>
      </c>
      <c r="E106" s="55">
        <f t="shared" si="33"/>
        <v>48</v>
      </c>
      <c r="F106" s="55">
        <f t="shared" si="34"/>
        <v>24</v>
      </c>
    </row>
    <row r="107" spans="1:6" x14ac:dyDescent="0.55000000000000004">
      <c r="A107" s="59">
        <f t="shared" ref="A107:A113" si="35">+A106+1</f>
        <v>3</v>
      </c>
      <c r="B107" s="61" t="s">
        <v>184</v>
      </c>
      <c r="C107" s="55">
        <v>25</v>
      </c>
      <c r="D107" s="55">
        <v>28</v>
      </c>
      <c r="E107" s="55">
        <f t="shared" si="33"/>
        <v>53</v>
      </c>
      <c r="F107" s="55">
        <f t="shared" si="34"/>
        <v>26.5</v>
      </c>
    </row>
    <row r="108" spans="1:6" ht="24" customHeight="1" x14ac:dyDescent="0.55000000000000004">
      <c r="A108" s="59">
        <f t="shared" si="35"/>
        <v>4</v>
      </c>
      <c r="B108" s="60" t="s">
        <v>185</v>
      </c>
      <c r="C108" s="55">
        <v>919</v>
      </c>
      <c r="D108" s="55"/>
      <c r="E108" s="55">
        <f t="shared" si="33"/>
        <v>919</v>
      </c>
      <c r="F108" s="55">
        <f t="shared" si="34"/>
        <v>459.5</v>
      </c>
    </row>
    <row r="109" spans="1:6" ht="24" customHeight="1" x14ac:dyDescent="0.55000000000000004">
      <c r="A109" s="59">
        <f t="shared" si="35"/>
        <v>5</v>
      </c>
      <c r="B109" s="73" t="s">
        <v>186</v>
      </c>
      <c r="C109" s="55">
        <v>503</v>
      </c>
      <c r="D109" s="55"/>
      <c r="E109" s="55">
        <f t="shared" si="33"/>
        <v>503</v>
      </c>
      <c r="F109" s="55">
        <f t="shared" si="34"/>
        <v>251.5</v>
      </c>
    </row>
    <row r="110" spans="1:6" x14ac:dyDescent="0.55000000000000004">
      <c r="A110" s="59">
        <f t="shared" si="35"/>
        <v>6</v>
      </c>
      <c r="B110" s="73" t="s">
        <v>187</v>
      </c>
      <c r="C110" s="55">
        <v>576</v>
      </c>
      <c r="D110" s="55"/>
      <c r="E110" s="55">
        <f t="shared" si="33"/>
        <v>576</v>
      </c>
      <c r="F110" s="55">
        <f t="shared" si="34"/>
        <v>288</v>
      </c>
    </row>
    <row r="111" spans="1:6" s="49" customFormat="1" x14ac:dyDescent="0.55000000000000004">
      <c r="A111" s="59">
        <f t="shared" si="35"/>
        <v>7</v>
      </c>
      <c r="B111" s="60" t="s">
        <v>188</v>
      </c>
      <c r="C111" s="74">
        <v>199</v>
      </c>
      <c r="D111" s="74"/>
      <c r="E111" s="55">
        <f t="shared" si="33"/>
        <v>199</v>
      </c>
      <c r="F111" s="55">
        <f t="shared" si="34"/>
        <v>99.5</v>
      </c>
    </row>
    <row r="112" spans="1:6" x14ac:dyDescent="0.55000000000000004">
      <c r="A112" s="59">
        <f t="shared" si="35"/>
        <v>8</v>
      </c>
      <c r="B112" s="70" t="s">
        <v>152</v>
      </c>
      <c r="C112" s="55">
        <v>1</v>
      </c>
      <c r="D112" s="55"/>
      <c r="E112" s="55">
        <f t="shared" si="33"/>
        <v>1</v>
      </c>
      <c r="F112" s="55">
        <f t="shared" si="34"/>
        <v>0.5</v>
      </c>
    </row>
    <row r="113" spans="1:7" x14ac:dyDescent="0.55000000000000004">
      <c r="A113" s="59">
        <f t="shared" si="35"/>
        <v>9</v>
      </c>
      <c r="B113" s="75" t="s">
        <v>189</v>
      </c>
      <c r="C113" s="55"/>
      <c r="D113" s="55">
        <v>10</v>
      </c>
      <c r="E113" s="55">
        <f t="shared" si="33"/>
        <v>10</v>
      </c>
      <c r="F113" s="55">
        <f t="shared" si="34"/>
        <v>5</v>
      </c>
      <c r="G113" s="63">
        <f>SUM(F91:F113)</f>
        <v>2942</v>
      </c>
    </row>
    <row r="114" spans="1:7" x14ac:dyDescent="0.55000000000000004">
      <c r="A114" s="64"/>
      <c r="B114" s="65" t="s">
        <v>9</v>
      </c>
      <c r="C114" s="66">
        <f>SUM(C55:C113)</f>
        <v>7456</v>
      </c>
      <c r="D114" s="66">
        <f t="shared" ref="D114:F114" si="36">SUM(D55:D113)</f>
        <v>4785</v>
      </c>
      <c r="E114" s="66">
        <f t="shared" si="36"/>
        <v>12241</v>
      </c>
      <c r="F114" s="66">
        <f t="shared" si="36"/>
        <v>6120.5</v>
      </c>
    </row>
    <row r="115" spans="1:7" x14ac:dyDescent="0.55000000000000004">
      <c r="A115" s="54" t="s">
        <v>190</v>
      </c>
      <c r="B115" s="54"/>
      <c r="C115" s="55"/>
      <c r="D115" s="55"/>
      <c r="E115" s="55"/>
      <c r="F115" s="55"/>
    </row>
    <row r="116" spans="1:7" x14ac:dyDescent="0.55000000000000004">
      <c r="A116" s="59">
        <v>1</v>
      </c>
      <c r="B116" s="61" t="s">
        <v>191</v>
      </c>
      <c r="C116" s="55">
        <v>189</v>
      </c>
      <c r="D116" s="55">
        <v>182</v>
      </c>
      <c r="E116" s="55">
        <f t="shared" ref="E116:E118" si="37">SUM(C116:D116)</f>
        <v>371</v>
      </c>
      <c r="F116" s="55">
        <f t="shared" si="34"/>
        <v>185.5</v>
      </c>
    </row>
    <row r="117" spans="1:7" x14ac:dyDescent="0.55000000000000004">
      <c r="A117" s="59">
        <f>+A116+1</f>
        <v>2</v>
      </c>
      <c r="B117" s="61" t="s">
        <v>192</v>
      </c>
      <c r="C117" s="55">
        <v>174</v>
      </c>
      <c r="D117" s="55">
        <v>167</v>
      </c>
      <c r="E117" s="55">
        <f t="shared" si="37"/>
        <v>341</v>
      </c>
      <c r="F117" s="55">
        <f t="shared" si="34"/>
        <v>170.5</v>
      </c>
    </row>
    <row r="118" spans="1:7" x14ac:dyDescent="0.55000000000000004">
      <c r="A118" s="59">
        <f t="shared" ref="A118" si="38">+A117+1</f>
        <v>3</v>
      </c>
      <c r="B118" s="61" t="s">
        <v>193</v>
      </c>
      <c r="C118" s="55">
        <v>260</v>
      </c>
      <c r="D118" s="55">
        <v>269</v>
      </c>
      <c r="E118" s="55">
        <f t="shared" si="37"/>
        <v>529</v>
      </c>
      <c r="F118" s="55">
        <f t="shared" si="34"/>
        <v>264.5</v>
      </c>
    </row>
    <row r="119" spans="1:7" x14ac:dyDescent="0.55000000000000004">
      <c r="A119" s="64"/>
      <c r="B119" s="65" t="s">
        <v>9</v>
      </c>
      <c r="C119" s="66">
        <f>SUM(C116:C118)</f>
        <v>623</v>
      </c>
      <c r="D119" s="66">
        <f t="shared" ref="D119:F119" si="39">SUM(D116:D118)</f>
        <v>618</v>
      </c>
      <c r="E119" s="66">
        <f t="shared" si="39"/>
        <v>1241</v>
      </c>
      <c r="F119" s="66">
        <f t="shared" si="39"/>
        <v>620.5</v>
      </c>
    </row>
    <row r="120" spans="1:7" x14ac:dyDescent="0.55000000000000004">
      <c r="A120" s="54" t="s">
        <v>14</v>
      </c>
      <c r="B120" s="54"/>
      <c r="C120" s="55"/>
      <c r="D120" s="55"/>
      <c r="E120" s="55"/>
      <c r="F120" s="55"/>
    </row>
    <row r="121" spans="1:7" x14ac:dyDescent="0.55000000000000004">
      <c r="A121" s="59">
        <v>1</v>
      </c>
      <c r="B121" s="78" t="s">
        <v>194</v>
      </c>
      <c r="C121" s="55">
        <v>85</v>
      </c>
      <c r="D121" s="55">
        <v>83</v>
      </c>
      <c r="E121" s="55">
        <f t="shared" ref="E121:E134" si="40">SUM(C121:D121)</f>
        <v>168</v>
      </c>
      <c r="F121" s="55">
        <f t="shared" si="34"/>
        <v>84</v>
      </c>
    </row>
    <row r="122" spans="1:7" x14ac:dyDescent="0.55000000000000004">
      <c r="A122" s="59">
        <f>+A121+1</f>
        <v>2</v>
      </c>
      <c r="B122" s="78" t="s">
        <v>195</v>
      </c>
      <c r="C122" s="55">
        <v>119</v>
      </c>
      <c r="D122" s="55">
        <v>114</v>
      </c>
      <c r="E122" s="55">
        <f t="shared" si="40"/>
        <v>233</v>
      </c>
      <c r="F122" s="55">
        <f t="shared" si="34"/>
        <v>116.5</v>
      </c>
    </row>
    <row r="123" spans="1:7" x14ac:dyDescent="0.55000000000000004">
      <c r="A123" s="59">
        <f t="shared" ref="A123:A134" si="41">+A122+1</f>
        <v>3</v>
      </c>
      <c r="B123" s="78" t="s">
        <v>196</v>
      </c>
      <c r="C123" s="55">
        <v>147</v>
      </c>
      <c r="D123" s="55">
        <v>146</v>
      </c>
      <c r="E123" s="55">
        <f t="shared" si="40"/>
        <v>293</v>
      </c>
      <c r="F123" s="55">
        <f t="shared" si="34"/>
        <v>146.5</v>
      </c>
    </row>
    <row r="124" spans="1:7" x14ac:dyDescent="0.55000000000000004">
      <c r="A124" s="59">
        <f t="shared" si="41"/>
        <v>4</v>
      </c>
      <c r="B124" s="78" t="s">
        <v>197</v>
      </c>
      <c r="C124" s="55">
        <v>112</v>
      </c>
      <c r="D124" s="55">
        <v>98</v>
      </c>
      <c r="E124" s="55">
        <f t="shared" si="40"/>
        <v>210</v>
      </c>
      <c r="F124" s="55">
        <f t="shared" si="34"/>
        <v>105</v>
      </c>
    </row>
    <row r="125" spans="1:7" x14ac:dyDescent="0.55000000000000004">
      <c r="A125" s="59">
        <f t="shared" si="41"/>
        <v>5</v>
      </c>
      <c r="B125" s="78" t="s">
        <v>198</v>
      </c>
      <c r="C125" s="55">
        <v>118</v>
      </c>
      <c r="D125" s="55">
        <v>95</v>
      </c>
      <c r="E125" s="55">
        <f t="shared" si="40"/>
        <v>213</v>
      </c>
      <c r="F125" s="55">
        <f t="shared" si="34"/>
        <v>106.5</v>
      </c>
    </row>
    <row r="126" spans="1:7" x14ac:dyDescent="0.55000000000000004">
      <c r="A126" s="59">
        <f t="shared" si="41"/>
        <v>6</v>
      </c>
      <c r="B126" s="78" t="s">
        <v>199</v>
      </c>
      <c r="C126" s="55">
        <v>122</v>
      </c>
      <c r="D126" s="55">
        <v>119</v>
      </c>
      <c r="E126" s="55">
        <f t="shared" si="40"/>
        <v>241</v>
      </c>
      <c r="F126" s="55">
        <f t="shared" si="34"/>
        <v>120.5</v>
      </c>
    </row>
    <row r="127" spans="1:7" x14ac:dyDescent="0.55000000000000004">
      <c r="A127" s="59">
        <f t="shared" si="41"/>
        <v>7</v>
      </c>
      <c r="B127" s="78" t="s">
        <v>200</v>
      </c>
      <c r="C127" s="55">
        <v>164</v>
      </c>
      <c r="D127" s="55">
        <v>125</v>
      </c>
      <c r="E127" s="55">
        <f t="shared" si="40"/>
        <v>289</v>
      </c>
      <c r="F127" s="55">
        <f t="shared" si="34"/>
        <v>144.5</v>
      </c>
    </row>
    <row r="128" spans="1:7" x14ac:dyDescent="0.55000000000000004">
      <c r="A128" s="59">
        <f t="shared" si="41"/>
        <v>8</v>
      </c>
      <c r="B128" s="78" t="s">
        <v>201</v>
      </c>
      <c r="C128" s="55">
        <v>101</v>
      </c>
      <c r="D128" s="55">
        <v>93</v>
      </c>
      <c r="E128" s="55">
        <f t="shared" si="40"/>
        <v>194</v>
      </c>
      <c r="F128" s="55">
        <f t="shared" si="34"/>
        <v>97</v>
      </c>
    </row>
    <row r="129" spans="1:6" x14ac:dyDescent="0.55000000000000004">
      <c r="A129" s="59">
        <f t="shared" si="41"/>
        <v>9</v>
      </c>
      <c r="B129" s="78" t="s">
        <v>202</v>
      </c>
      <c r="C129" s="55">
        <v>86</v>
      </c>
      <c r="D129" s="55">
        <v>69</v>
      </c>
      <c r="E129" s="55">
        <f t="shared" si="40"/>
        <v>155</v>
      </c>
      <c r="F129" s="55">
        <f t="shared" si="34"/>
        <v>77.5</v>
      </c>
    </row>
    <row r="130" spans="1:6" s="49" customFormat="1" x14ac:dyDescent="0.55000000000000004">
      <c r="A130" s="59">
        <f t="shared" si="41"/>
        <v>10</v>
      </c>
      <c r="B130" s="78" t="s">
        <v>203</v>
      </c>
      <c r="C130" s="74">
        <v>2</v>
      </c>
      <c r="D130" s="74"/>
      <c r="E130" s="55">
        <f t="shared" si="40"/>
        <v>2</v>
      </c>
      <c r="F130" s="55">
        <f t="shared" si="34"/>
        <v>1</v>
      </c>
    </row>
    <row r="131" spans="1:6" x14ac:dyDescent="0.55000000000000004">
      <c r="A131" s="59">
        <f t="shared" si="41"/>
        <v>11</v>
      </c>
      <c r="B131" s="78" t="s">
        <v>204</v>
      </c>
      <c r="C131" s="55">
        <v>105</v>
      </c>
      <c r="D131" s="55">
        <v>102</v>
      </c>
      <c r="E131" s="55">
        <f t="shared" si="40"/>
        <v>207</v>
      </c>
      <c r="F131" s="55">
        <f t="shared" si="34"/>
        <v>103.5</v>
      </c>
    </row>
    <row r="132" spans="1:6" x14ac:dyDescent="0.55000000000000004">
      <c r="A132" s="59">
        <f t="shared" si="41"/>
        <v>12</v>
      </c>
      <c r="B132" s="78" t="s">
        <v>205</v>
      </c>
      <c r="C132" s="55">
        <v>175</v>
      </c>
      <c r="D132" s="55">
        <v>136</v>
      </c>
      <c r="E132" s="55">
        <f t="shared" si="40"/>
        <v>311</v>
      </c>
      <c r="F132" s="55">
        <f t="shared" si="34"/>
        <v>155.5</v>
      </c>
    </row>
    <row r="133" spans="1:6" x14ac:dyDescent="0.55000000000000004">
      <c r="A133" s="59">
        <f t="shared" si="41"/>
        <v>13</v>
      </c>
      <c r="B133" s="78" t="s">
        <v>206</v>
      </c>
      <c r="C133" s="55">
        <v>127</v>
      </c>
      <c r="D133" s="55">
        <v>113</v>
      </c>
      <c r="E133" s="55">
        <f t="shared" si="40"/>
        <v>240</v>
      </c>
      <c r="F133" s="55">
        <f t="shared" si="34"/>
        <v>120</v>
      </c>
    </row>
    <row r="134" spans="1:6" x14ac:dyDescent="0.55000000000000004">
      <c r="A134" s="59">
        <f t="shared" si="41"/>
        <v>14</v>
      </c>
      <c r="B134" s="78" t="s">
        <v>207</v>
      </c>
      <c r="C134" s="55">
        <v>173</v>
      </c>
      <c r="D134" s="55">
        <v>125</v>
      </c>
      <c r="E134" s="55">
        <f t="shared" si="40"/>
        <v>298</v>
      </c>
      <c r="F134" s="55">
        <f t="shared" si="34"/>
        <v>149</v>
      </c>
    </row>
    <row r="135" spans="1:6" x14ac:dyDescent="0.55000000000000004">
      <c r="A135" s="79" t="s">
        <v>208</v>
      </c>
      <c r="B135" s="80"/>
      <c r="C135" s="55"/>
      <c r="D135" s="55"/>
      <c r="E135" s="55"/>
      <c r="F135" s="55"/>
    </row>
    <row r="136" spans="1:6" x14ac:dyDescent="0.55000000000000004">
      <c r="A136" s="59">
        <v>1</v>
      </c>
      <c r="B136" s="78" t="s">
        <v>209</v>
      </c>
      <c r="C136" s="55"/>
      <c r="D136" s="55">
        <v>33</v>
      </c>
      <c r="E136" s="55">
        <f t="shared" ref="E136:E139" si="42">SUM(C136:D136)</f>
        <v>33</v>
      </c>
      <c r="F136" s="55">
        <f t="shared" si="34"/>
        <v>16.5</v>
      </c>
    </row>
    <row r="137" spans="1:6" x14ac:dyDescent="0.55000000000000004">
      <c r="A137" s="59">
        <v>2</v>
      </c>
      <c r="B137" s="78" t="s">
        <v>210</v>
      </c>
      <c r="C137" s="55"/>
      <c r="D137" s="55">
        <v>31</v>
      </c>
      <c r="E137" s="55">
        <f t="shared" si="42"/>
        <v>31</v>
      </c>
      <c r="F137" s="55">
        <f t="shared" si="34"/>
        <v>15.5</v>
      </c>
    </row>
    <row r="138" spans="1:6" x14ac:dyDescent="0.55000000000000004">
      <c r="A138" s="59">
        <v>3</v>
      </c>
      <c r="B138" s="78" t="s">
        <v>211</v>
      </c>
      <c r="C138" s="55"/>
      <c r="D138" s="55">
        <v>5</v>
      </c>
      <c r="E138" s="55">
        <f t="shared" si="42"/>
        <v>5</v>
      </c>
      <c r="F138" s="55">
        <f t="shared" si="34"/>
        <v>2.5</v>
      </c>
    </row>
    <row r="139" spans="1:6" x14ac:dyDescent="0.55000000000000004">
      <c r="A139" s="59">
        <v>4</v>
      </c>
      <c r="B139" s="78" t="s">
        <v>212</v>
      </c>
      <c r="C139" s="55"/>
      <c r="D139" s="55">
        <v>29</v>
      </c>
      <c r="E139" s="55">
        <f t="shared" si="42"/>
        <v>29</v>
      </c>
      <c r="F139" s="55">
        <f t="shared" si="34"/>
        <v>14.5</v>
      </c>
    </row>
    <row r="140" spans="1:6" x14ac:dyDescent="0.55000000000000004">
      <c r="A140" s="64"/>
      <c r="B140" s="65" t="s">
        <v>9</v>
      </c>
      <c r="C140" s="66">
        <f>SUM(C121:C139)</f>
        <v>1636</v>
      </c>
      <c r="D140" s="66">
        <f t="shared" ref="D140:F140" si="43">SUM(D121:D139)</f>
        <v>1516</v>
      </c>
      <c r="E140" s="66">
        <f t="shared" si="43"/>
        <v>3152</v>
      </c>
      <c r="F140" s="66">
        <f t="shared" si="43"/>
        <v>1576</v>
      </c>
    </row>
    <row r="141" spans="1:6" x14ac:dyDescent="0.55000000000000004">
      <c r="A141" s="127" t="s">
        <v>213</v>
      </c>
      <c r="B141" s="128"/>
      <c r="C141" s="55"/>
      <c r="D141" s="55"/>
      <c r="E141" s="55"/>
      <c r="F141" s="55"/>
    </row>
    <row r="142" spans="1:6" ht="24" customHeight="1" x14ac:dyDescent="0.55000000000000004">
      <c r="A142" s="76" t="s">
        <v>214</v>
      </c>
      <c r="B142" s="77"/>
      <c r="C142" s="55"/>
      <c r="D142" s="55"/>
      <c r="E142" s="55"/>
      <c r="F142" s="55"/>
    </row>
    <row r="143" spans="1:6" s="49" customFormat="1" x14ac:dyDescent="0.55000000000000004">
      <c r="A143" s="59">
        <v>1</v>
      </c>
      <c r="B143" s="70" t="s">
        <v>215</v>
      </c>
      <c r="C143" s="74">
        <v>1</v>
      </c>
      <c r="D143" s="74">
        <v>6</v>
      </c>
      <c r="E143" s="55">
        <f t="shared" ref="E143:E144" si="44">SUM(C143:D143)</f>
        <v>7</v>
      </c>
      <c r="F143" s="55">
        <f t="shared" ref="F143:F144" si="45">+E143/2</f>
        <v>3.5</v>
      </c>
    </row>
    <row r="144" spans="1:6" x14ac:dyDescent="0.55000000000000004">
      <c r="A144" s="59">
        <f>+A143+1</f>
        <v>2</v>
      </c>
      <c r="B144" s="61" t="s">
        <v>216</v>
      </c>
      <c r="C144" s="55">
        <v>6</v>
      </c>
      <c r="D144" s="55">
        <v>8</v>
      </c>
      <c r="E144" s="55">
        <f t="shared" si="44"/>
        <v>14</v>
      </c>
      <c r="F144" s="55">
        <f t="shared" si="45"/>
        <v>7</v>
      </c>
    </row>
    <row r="145" spans="1:6" x14ac:dyDescent="0.55000000000000004">
      <c r="A145" s="76" t="s">
        <v>217</v>
      </c>
      <c r="B145" s="77"/>
      <c r="C145" s="55"/>
      <c r="D145" s="55"/>
      <c r="E145" s="55"/>
      <c r="F145" s="55"/>
    </row>
    <row r="146" spans="1:6" x14ac:dyDescent="0.55000000000000004">
      <c r="A146" s="59">
        <v>1</v>
      </c>
      <c r="B146" s="70" t="s">
        <v>218</v>
      </c>
      <c r="C146" s="55">
        <v>30</v>
      </c>
      <c r="D146" s="55">
        <v>25</v>
      </c>
      <c r="E146" s="55">
        <f t="shared" ref="E146:E147" si="46">SUM(C146:D146)</f>
        <v>55</v>
      </c>
      <c r="F146" s="55">
        <f t="shared" ref="F146:F147" si="47">+E146/2</f>
        <v>27.5</v>
      </c>
    </row>
    <row r="147" spans="1:6" x14ac:dyDescent="0.55000000000000004">
      <c r="A147" s="59">
        <f>+A146+1</f>
        <v>2</v>
      </c>
      <c r="B147" s="61" t="s">
        <v>219</v>
      </c>
      <c r="C147" s="55">
        <v>14</v>
      </c>
      <c r="D147" s="55">
        <v>3</v>
      </c>
      <c r="E147" s="55">
        <f t="shared" si="46"/>
        <v>17</v>
      </c>
      <c r="F147" s="55">
        <f t="shared" si="47"/>
        <v>8.5</v>
      </c>
    </row>
    <row r="148" spans="1:6" x14ac:dyDescent="0.55000000000000004">
      <c r="A148" s="64"/>
      <c r="B148" s="65" t="s">
        <v>9</v>
      </c>
      <c r="C148" s="66">
        <f>SUM(C143:C147)</f>
        <v>51</v>
      </c>
      <c r="D148" s="66">
        <f t="shared" ref="D148:F148" si="48">SUM(D143:D147)</f>
        <v>42</v>
      </c>
      <c r="E148" s="66">
        <f t="shared" si="48"/>
        <v>93</v>
      </c>
      <c r="F148" s="66">
        <f t="shared" si="48"/>
        <v>46.5</v>
      </c>
    </row>
    <row r="149" spans="1:6" x14ac:dyDescent="0.55000000000000004">
      <c r="A149" s="54" t="s">
        <v>220</v>
      </c>
      <c r="B149" s="54"/>
      <c r="C149" s="55"/>
      <c r="D149" s="55"/>
      <c r="E149" s="55"/>
      <c r="F149" s="55"/>
    </row>
    <row r="150" spans="1:6" x14ac:dyDescent="0.55000000000000004">
      <c r="A150" s="76" t="s">
        <v>221</v>
      </c>
      <c r="B150" s="77"/>
      <c r="C150" s="55"/>
      <c r="D150" s="55"/>
      <c r="E150" s="55"/>
      <c r="F150" s="55"/>
    </row>
    <row r="151" spans="1:6" x14ac:dyDescent="0.55000000000000004">
      <c r="A151" s="59">
        <v>1</v>
      </c>
      <c r="B151" s="73" t="s">
        <v>222</v>
      </c>
      <c r="C151" s="55">
        <v>42</v>
      </c>
      <c r="D151" s="55">
        <v>37</v>
      </c>
      <c r="E151" s="55">
        <f t="shared" ref="E151" si="49">SUM(C151:D151)</f>
        <v>79</v>
      </c>
      <c r="F151" s="55">
        <f t="shared" ref="F151" si="50">+E151/2</f>
        <v>39.5</v>
      </c>
    </row>
    <row r="152" spans="1:6" x14ac:dyDescent="0.55000000000000004">
      <c r="A152" s="76" t="s">
        <v>223</v>
      </c>
      <c r="B152" s="77"/>
      <c r="C152" s="55"/>
      <c r="D152" s="55"/>
      <c r="E152" s="55"/>
      <c r="F152" s="55"/>
    </row>
    <row r="153" spans="1:6" x14ac:dyDescent="0.55000000000000004">
      <c r="A153" s="59">
        <v>1</v>
      </c>
      <c r="B153" s="60" t="s">
        <v>224</v>
      </c>
      <c r="C153" s="55">
        <v>39</v>
      </c>
      <c r="D153" s="55">
        <v>41</v>
      </c>
      <c r="E153" s="55">
        <f t="shared" ref="E153:E154" si="51">SUM(C153:D153)</f>
        <v>80</v>
      </c>
      <c r="F153" s="55">
        <f t="shared" ref="F153:F154" si="52">+E153/2</f>
        <v>40</v>
      </c>
    </row>
    <row r="154" spans="1:6" ht="24" customHeight="1" x14ac:dyDescent="0.55000000000000004">
      <c r="A154" s="81">
        <v>2</v>
      </c>
      <c r="B154" s="60" t="s">
        <v>225</v>
      </c>
      <c r="C154" s="55">
        <v>23</v>
      </c>
      <c r="D154" s="55">
        <v>20</v>
      </c>
      <c r="E154" s="55">
        <f t="shared" si="51"/>
        <v>43</v>
      </c>
      <c r="F154" s="55">
        <f t="shared" si="52"/>
        <v>21.5</v>
      </c>
    </row>
    <row r="155" spans="1:6" x14ac:dyDescent="0.55000000000000004">
      <c r="A155" s="64"/>
      <c r="B155" s="65" t="s">
        <v>9</v>
      </c>
      <c r="C155" s="66">
        <f>SUM(C151:C154)</f>
        <v>104</v>
      </c>
      <c r="D155" s="66">
        <f t="shared" ref="D155:F155" si="53">SUM(D151:D154)</f>
        <v>98</v>
      </c>
      <c r="E155" s="66">
        <f t="shared" si="53"/>
        <v>202</v>
      </c>
      <c r="F155" s="66">
        <f t="shared" si="53"/>
        <v>101</v>
      </c>
    </row>
    <row r="156" spans="1:6" ht="24.75" thickBot="1" x14ac:dyDescent="0.6">
      <c r="A156" s="82"/>
      <c r="B156" s="83" t="s">
        <v>226</v>
      </c>
      <c r="C156" s="84">
        <f>+C155+C148+C140+C119+C114+C51+C47+C34+C24</f>
        <v>14667</v>
      </c>
      <c r="D156" s="84">
        <f t="shared" ref="D156:F156" si="54">+D155+D148+D140+D119+D114+D51+D47+D34+D24</f>
        <v>11480</v>
      </c>
      <c r="E156" s="84">
        <f t="shared" si="54"/>
        <v>26147</v>
      </c>
      <c r="F156" s="84">
        <f t="shared" si="54"/>
        <v>13073.5</v>
      </c>
    </row>
    <row r="157" spans="1:6" ht="24.75" thickTop="1" x14ac:dyDescent="0.55000000000000004"/>
  </sheetData>
  <mergeCells count="7">
    <mergeCell ref="A141:B141"/>
    <mergeCell ref="A1:F1"/>
    <mergeCell ref="A2:F2"/>
    <mergeCell ref="A4:A5"/>
    <mergeCell ref="B4:B5"/>
    <mergeCell ref="C4:E4"/>
    <mergeCell ref="A48:B48"/>
  </mergeCells>
  <pageMargins left="0.70866141732283472" right="0.19685039370078741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workbookViewId="0">
      <selection activeCell="C21" sqref="C21"/>
    </sheetView>
  </sheetViews>
  <sheetFormatPr defaultRowHeight="24" x14ac:dyDescent="0.55000000000000004"/>
  <cols>
    <col min="1" max="1" width="42.25" style="99" customWidth="1"/>
    <col min="2" max="4" width="14.75" style="100" customWidth="1"/>
    <col min="5" max="16384" width="9" style="56"/>
  </cols>
  <sheetData>
    <row r="1" spans="1:4" x14ac:dyDescent="0.55000000000000004">
      <c r="A1" s="129" t="s">
        <v>243</v>
      </c>
      <c r="B1" s="129"/>
      <c r="C1" s="129"/>
      <c r="D1" s="129"/>
    </row>
    <row r="2" spans="1:4" x14ac:dyDescent="0.55000000000000004">
      <c r="A2" s="56"/>
      <c r="B2" s="88"/>
      <c r="C2" s="88"/>
      <c r="D2" s="88"/>
    </row>
    <row r="3" spans="1:4" s="49" customFormat="1" x14ac:dyDescent="0.55000000000000004">
      <c r="A3" s="135" t="s">
        <v>229</v>
      </c>
      <c r="B3" s="137" t="s">
        <v>244</v>
      </c>
      <c r="C3" s="138"/>
      <c r="D3" s="139" t="s">
        <v>9</v>
      </c>
    </row>
    <row r="4" spans="1:4" s="49" customFormat="1" x14ac:dyDescent="0.55000000000000004">
      <c r="A4" s="136"/>
      <c r="B4" s="101" t="s">
        <v>245</v>
      </c>
      <c r="C4" s="101" t="s">
        <v>246</v>
      </c>
      <c r="D4" s="140"/>
    </row>
    <row r="5" spans="1:4" s="49" customFormat="1" x14ac:dyDescent="0.55000000000000004">
      <c r="A5" s="89" t="s">
        <v>129</v>
      </c>
      <c r="B5" s="90"/>
      <c r="C5" s="90"/>
      <c r="D5" s="90"/>
    </row>
    <row r="6" spans="1:4" x14ac:dyDescent="0.55000000000000004">
      <c r="A6" s="91" t="s">
        <v>235</v>
      </c>
      <c r="B6" s="92">
        <v>38</v>
      </c>
      <c r="C6" s="92">
        <v>8</v>
      </c>
      <c r="D6" s="92">
        <f>SUM(B6:C6)</f>
        <v>46</v>
      </c>
    </row>
    <row r="7" spans="1:4" x14ac:dyDescent="0.55000000000000004">
      <c r="A7" s="91" t="s">
        <v>236</v>
      </c>
      <c r="B7" s="92">
        <f>16+5+9+10+5+6</f>
        <v>51</v>
      </c>
      <c r="C7" s="92">
        <v>38</v>
      </c>
      <c r="D7" s="92">
        <f t="shared" ref="D7:D9" si="0">SUM(B7:C7)</f>
        <v>89</v>
      </c>
    </row>
    <row r="8" spans="1:4" x14ac:dyDescent="0.55000000000000004">
      <c r="A8" s="91" t="s">
        <v>237</v>
      </c>
      <c r="B8" s="92">
        <v>0</v>
      </c>
      <c r="C8" s="92">
        <v>0</v>
      </c>
      <c r="D8" s="92">
        <f t="shared" si="0"/>
        <v>0</v>
      </c>
    </row>
    <row r="9" spans="1:4" x14ac:dyDescent="0.55000000000000004">
      <c r="A9" s="91" t="s">
        <v>238</v>
      </c>
      <c r="B9" s="92">
        <v>27</v>
      </c>
      <c r="C9" s="92">
        <v>8</v>
      </c>
      <c r="D9" s="92">
        <f t="shared" si="0"/>
        <v>35</v>
      </c>
    </row>
    <row r="10" spans="1:4" x14ac:dyDescent="0.55000000000000004">
      <c r="A10" s="93" t="s">
        <v>9</v>
      </c>
      <c r="B10" s="94">
        <f>SUM(B6:B9)</f>
        <v>116</v>
      </c>
      <c r="C10" s="94">
        <f t="shared" ref="C10:D10" si="1">SUM(C6:C9)</f>
        <v>54</v>
      </c>
      <c r="D10" s="94">
        <f t="shared" si="1"/>
        <v>170</v>
      </c>
    </row>
    <row r="11" spans="1:4" s="49" customFormat="1" x14ac:dyDescent="0.55000000000000004">
      <c r="A11" s="89" t="s">
        <v>239</v>
      </c>
      <c r="B11" s="90"/>
      <c r="C11" s="90"/>
      <c r="D11" s="90"/>
    </row>
    <row r="12" spans="1:4" x14ac:dyDescent="0.55000000000000004">
      <c r="A12" s="91" t="s">
        <v>235</v>
      </c>
      <c r="B12" s="92">
        <v>87</v>
      </c>
      <c r="C12" s="92">
        <v>19</v>
      </c>
      <c r="D12" s="92">
        <f t="shared" ref="D12:D15" si="2">SUM(B12:C12)</f>
        <v>106</v>
      </c>
    </row>
    <row r="13" spans="1:4" x14ac:dyDescent="0.55000000000000004">
      <c r="A13" s="91" t="s">
        <v>236</v>
      </c>
      <c r="B13" s="92"/>
      <c r="C13" s="92"/>
      <c r="D13" s="92">
        <f t="shared" si="2"/>
        <v>0</v>
      </c>
    </row>
    <row r="14" spans="1:4" x14ac:dyDescent="0.55000000000000004">
      <c r="A14" s="91" t="s">
        <v>237</v>
      </c>
      <c r="B14" s="92"/>
      <c r="C14" s="92"/>
      <c r="D14" s="92">
        <f t="shared" si="2"/>
        <v>0</v>
      </c>
    </row>
    <row r="15" spans="1:4" x14ac:dyDescent="0.55000000000000004">
      <c r="A15" s="91" t="s">
        <v>238</v>
      </c>
      <c r="B15" s="92">
        <v>10</v>
      </c>
      <c r="C15" s="92">
        <v>3</v>
      </c>
      <c r="D15" s="92">
        <f t="shared" si="2"/>
        <v>13</v>
      </c>
    </row>
    <row r="16" spans="1:4" x14ac:dyDescent="0.55000000000000004">
      <c r="A16" s="93" t="s">
        <v>9</v>
      </c>
      <c r="B16" s="94">
        <f>SUM(B12:B15)</f>
        <v>97</v>
      </c>
      <c r="C16" s="94">
        <f t="shared" ref="C16:D16" si="3">SUM(C12:C15)</f>
        <v>22</v>
      </c>
      <c r="D16" s="94">
        <f t="shared" si="3"/>
        <v>119</v>
      </c>
    </row>
    <row r="17" spans="1:4" s="49" customFormat="1" x14ac:dyDescent="0.55000000000000004">
      <c r="A17" s="95" t="s">
        <v>105</v>
      </c>
      <c r="B17" s="94">
        <v>62</v>
      </c>
      <c r="C17" s="94">
        <v>14</v>
      </c>
      <c r="D17" s="94">
        <f>SUM(B17:C17)</f>
        <v>76</v>
      </c>
    </row>
    <row r="18" spans="1:4" s="49" customFormat="1" x14ac:dyDescent="0.55000000000000004">
      <c r="A18" s="89" t="s">
        <v>190</v>
      </c>
      <c r="B18" s="90"/>
      <c r="C18" s="90"/>
      <c r="D18" s="90"/>
    </row>
    <row r="19" spans="1:4" x14ac:dyDescent="0.55000000000000004">
      <c r="A19" s="91" t="s">
        <v>235</v>
      </c>
      <c r="B19" s="92">
        <v>36</v>
      </c>
      <c r="C19" s="92">
        <v>4</v>
      </c>
      <c r="D19" s="92">
        <f t="shared" ref="D19:D22" si="4">SUM(B19:C19)</f>
        <v>40</v>
      </c>
    </row>
    <row r="20" spans="1:4" x14ac:dyDescent="0.55000000000000004">
      <c r="A20" s="91" t="s">
        <v>236</v>
      </c>
      <c r="B20" s="92">
        <v>50</v>
      </c>
      <c r="C20" s="92">
        <v>27</v>
      </c>
      <c r="D20" s="92">
        <f t="shared" si="4"/>
        <v>77</v>
      </c>
    </row>
    <row r="21" spans="1:4" x14ac:dyDescent="0.55000000000000004">
      <c r="A21" s="91" t="s">
        <v>237</v>
      </c>
      <c r="B21" s="92">
        <v>16</v>
      </c>
      <c r="C21" s="92">
        <v>2</v>
      </c>
      <c r="D21" s="92">
        <f t="shared" si="4"/>
        <v>18</v>
      </c>
    </row>
    <row r="22" spans="1:4" x14ac:dyDescent="0.55000000000000004">
      <c r="A22" s="91" t="s">
        <v>238</v>
      </c>
      <c r="B22" s="92">
        <v>26</v>
      </c>
      <c r="C22" s="92">
        <v>8</v>
      </c>
      <c r="D22" s="92">
        <f t="shared" si="4"/>
        <v>34</v>
      </c>
    </row>
    <row r="23" spans="1:4" x14ac:dyDescent="0.55000000000000004">
      <c r="A23" s="93" t="s">
        <v>9</v>
      </c>
      <c r="B23" s="94">
        <f>SUM(B19:B22)</f>
        <v>128</v>
      </c>
      <c r="C23" s="94">
        <f t="shared" ref="C23:D23" si="5">SUM(C19:C22)</f>
        <v>41</v>
      </c>
      <c r="D23" s="94">
        <f t="shared" si="5"/>
        <v>169</v>
      </c>
    </row>
    <row r="24" spans="1:4" s="49" customFormat="1" x14ac:dyDescent="0.55000000000000004">
      <c r="A24" s="95" t="s">
        <v>14</v>
      </c>
      <c r="B24" s="94">
        <v>102</v>
      </c>
      <c r="C24" s="94">
        <v>52</v>
      </c>
      <c r="D24" s="94">
        <f t="shared" ref="D24:D26" si="6">SUM(B24:C24)</f>
        <v>154</v>
      </c>
    </row>
    <row r="25" spans="1:4" s="49" customFormat="1" x14ac:dyDescent="0.55000000000000004">
      <c r="A25" s="96" t="s">
        <v>240</v>
      </c>
      <c r="B25" s="94">
        <v>22</v>
      </c>
      <c r="C25" s="94">
        <v>9</v>
      </c>
      <c r="D25" s="94">
        <f t="shared" si="6"/>
        <v>31</v>
      </c>
    </row>
    <row r="26" spans="1:4" s="49" customFormat="1" x14ac:dyDescent="0.55000000000000004">
      <c r="A26" s="95" t="s">
        <v>241</v>
      </c>
      <c r="B26" s="94">
        <v>44</v>
      </c>
      <c r="C26" s="94">
        <v>18</v>
      </c>
      <c r="D26" s="94">
        <f t="shared" si="6"/>
        <v>62</v>
      </c>
    </row>
    <row r="27" spans="1:4" s="49" customFormat="1" x14ac:dyDescent="0.55000000000000004">
      <c r="A27" s="89" t="s">
        <v>220</v>
      </c>
      <c r="B27" s="90"/>
      <c r="C27" s="90"/>
      <c r="D27" s="90"/>
    </row>
    <row r="28" spans="1:4" x14ac:dyDescent="0.55000000000000004">
      <c r="A28" s="91" t="s">
        <v>235</v>
      </c>
      <c r="B28" s="92">
        <v>24</v>
      </c>
      <c r="C28" s="92">
        <v>24</v>
      </c>
      <c r="D28" s="92">
        <f t="shared" ref="D28:D33" si="7">SUM(B28:C28)</f>
        <v>48</v>
      </c>
    </row>
    <row r="29" spans="1:4" x14ac:dyDescent="0.55000000000000004">
      <c r="A29" s="91" t="s">
        <v>236</v>
      </c>
      <c r="B29" s="92">
        <v>6</v>
      </c>
      <c r="C29" s="92">
        <v>0</v>
      </c>
      <c r="D29" s="92">
        <f t="shared" si="7"/>
        <v>6</v>
      </c>
    </row>
    <row r="30" spans="1:4" x14ac:dyDescent="0.55000000000000004">
      <c r="A30" s="91" t="s">
        <v>237</v>
      </c>
      <c r="B30" s="92">
        <v>0</v>
      </c>
      <c r="C30" s="92">
        <v>0</v>
      </c>
      <c r="D30" s="92">
        <f t="shared" si="7"/>
        <v>0</v>
      </c>
    </row>
    <row r="31" spans="1:4" x14ac:dyDescent="0.55000000000000004">
      <c r="A31" s="91" t="s">
        <v>238</v>
      </c>
      <c r="B31" s="92">
        <v>8</v>
      </c>
      <c r="C31" s="92">
        <v>0</v>
      </c>
      <c r="D31" s="92">
        <f t="shared" si="7"/>
        <v>8</v>
      </c>
    </row>
    <row r="32" spans="1:4" x14ac:dyDescent="0.55000000000000004">
      <c r="A32" s="93" t="s">
        <v>9</v>
      </c>
      <c r="B32" s="94">
        <f>SUM(B28:B31)</f>
        <v>38</v>
      </c>
      <c r="C32" s="94">
        <f t="shared" ref="C32:D32" si="8">SUM(C28:C31)</f>
        <v>24</v>
      </c>
      <c r="D32" s="94">
        <f t="shared" si="8"/>
        <v>62</v>
      </c>
    </row>
    <row r="33" spans="1:4" s="49" customFormat="1" x14ac:dyDescent="0.55000000000000004">
      <c r="A33" s="95" t="s">
        <v>242</v>
      </c>
      <c r="B33" s="94">
        <v>9</v>
      </c>
      <c r="C33" s="94">
        <v>9</v>
      </c>
      <c r="D33" s="94">
        <f t="shared" si="7"/>
        <v>18</v>
      </c>
    </row>
    <row r="34" spans="1:4" x14ac:dyDescent="0.55000000000000004">
      <c r="A34" s="97" t="s">
        <v>9</v>
      </c>
      <c r="B34" s="98">
        <f>+B10+B16+B17+B23+B24+B25+B26+B32+B33</f>
        <v>618</v>
      </c>
      <c r="C34" s="98">
        <f t="shared" ref="C34:D34" si="9">+C10+C16+C17+C23+C24+C25+C26+C32+C33</f>
        <v>243</v>
      </c>
      <c r="D34" s="98">
        <f t="shared" si="9"/>
        <v>861</v>
      </c>
    </row>
  </sheetData>
  <mergeCells count="4">
    <mergeCell ref="A1:D1"/>
    <mergeCell ref="A3:A4"/>
    <mergeCell ref="B3:C3"/>
    <mergeCell ref="D3:D4"/>
  </mergeCells>
  <pageMargins left="0.70866141732283472" right="0.23622047244094491" top="0.41" bottom="0.27559055118110237" header="0.21" footer="0.15748031496062992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5"/>
  <sheetViews>
    <sheetView showGridLines="0" workbookViewId="0">
      <selection activeCell="D14" sqref="D14"/>
    </sheetView>
  </sheetViews>
  <sheetFormatPr defaultRowHeight="24" x14ac:dyDescent="0.55000000000000004"/>
  <cols>
    <col min="1" max="1" width="42.25" style="99" customWidth="1"/>
    <col min="2" max="4" width="14.75" style="100" customWidth="1"/>
    <col min="5" max="6" width="9.625" style="87" bestFit="1" customWidth="1"/>
    <col min="7" max="16384" width="9" style="56"/>
  </cols>
  <sheetData>
    <row r="1" spans="1:6" x14ac:dyDescent="0.55000000000000004">
      <c r="A1" s="129" t="s">
        <v>227</v>
      </c>
      <c r="B1" s="129"/>
      <c r="C1" s="129"/>
      <c r="D1" s="129"/>
    </row>
    <row r="2" spans="1:6" x14ac:dyDescent="0.55000000000000004">
      <c r="A2" s="129" t="s">
        <v>228</v>
      </c>
      <c r="B2" s="129"/>
      <c r="C2" s="129"/>
      <c r="D2" s="129"/>
    </row>
    <row r="3" spans="1:6" x14ac:dyDescent="0.55000000000000004">
      <c r="A3" s="56"/>
      <c r="B3" s="88"/>
      <c r="C3" s="88"/>
      <c r="D3" s="88"/>
    </row>
    <row r="4" spans="1:6" s="49" customFormat="1" x14ac:dyDescent="0.55000000000000004">
      <c r="A4" s="135" t="s">
        <v>229</v>
      </c>
      <c r="B4" s="142" t="s">
        <v>230</v>
      </c>
      <c r="C4" s="143" t="s">
        <v>231</v>
      </c>
      <c r="D4" s="139" t="s">
        <v>232</v>
      </c>
      <c r="E4" s="141" t="s">
        <v>233</v>
      </c>
      <c r="F4" s="141" t="s">
        <v>234</v>
      </c>
    </row>
    <row r="5" spans="1:6" s="49" customFormat="1" x14ac:dyDescent="0.55000000000000004">
      <c r="A5" s="136"/>
      <c r="B5" s="142"/>
      <c r="C5" s="144"/>
      <c r="D5" s="140"/>
      <c r="E5" s="141"/>
      <c r="F5" s="141"/>
    </row>
    <row r="6" spans="1:6" s="49" customFormat="1" x14ac:dyDescent="0.55000000000000004">
      <c r="A6" s="89" t="s">
        <v>129</v>
      </c>
      <c r="B6" s="90"/>
      <c r="C6" s="90"/>
      <c r="D6" s="90"/>
      <c r="E6" s="90"/>
      <c r="F6" s="90"/>
    </row>
    <row r="7" spans="1:6" x14ac:dyDescent="0.55000000000000004">
      <c r="A7" s="91" t="s">
        <v>235</v>
      </c>
      <c r="B7" s="92">
        <v>46</v>
      </c>
      <c r="C7" s="92">
        <v>1597.5</v>
      </c>
      <c r="D7" s="92">
        <f>SUM(B7:C7)</f>
        <v>1643.5</v>
      </c>
      <c r="E7" s="92">
        <v>1733</v>
      </c>
      <c r="F7" s="92">
        <f>+D7-E7</f>
        <v>-89.5</v>
      </c>
    </row>
    <row r="8" spans="1:6" x14ac:dyDescent="0.55000000000000004">
      <c r="A8" s="91" t="s">
        <v>236</v>
      </c>
      <c r="B8" s="92">
        <v>89</v>
      </c>
      <c r="C8" s="92">
        <v>2942</v>
      </c>
      <c r="D8" s="92">
        <f t="shared" ref="D8:D10" si="0">SUM(B8:C8)</f>
        <v>3031</v>
      </c>
      <c r="E8" s="92">
        <v>1812</v>
      </c>
      <c r="F8" s="92">
        <f t="shared" ref="F8:F35" si="1">+D8-E8</f>
        <v>1219</v>
      </c>
    </row>
    <row r="9" spans="1:6" x14ac:dyDescent="0.55000000000000004">
      <c r="A9" s="91" t="s">
        <v>237</v>
      </c>
      <c r="B9" s="92">
        <v>0</v>
      </c>
      <c r="C9" s="92">
        <v>0</v>
      </c>
      <c r="D9" s="92">
        <f t="shared" si="0"/>
        <v>0</v>
      </c>
      <c r="E9" s="92">
        <v>0</v>
      </c>
      <c r="F9" s="92">
        <f t="shared" si="1"/>
        <v>0</v>
      </c>
    </row>
    <row r="10" spans="1:6" x14ac:dyDescent="0.55000000000000004">
      <c r="A10" s="91" t="s">
        <v>238</v>
      </c>
      <c r="B10" s="92">
        <v>35</v>
      </c>
      <c r="C10" s="92">
        <v>1581</v>
      </c>
      <c r="D10" s="92">
        <f t="shared" si="0"/>
        <v>1616</v>
      </c>
      <c r="E10" s="92">
        <v>1505</v>
      </c>
      <c r="F10" s="92">
        <f t="shared" si="1"/>
        <v>111</v>
      </c>
    </row>
    <row r="11" spans="1:6" x14ac:dyDescent="0.55000000000000004">
      <c r="A11" s="93" t="s">
        <v>9</v>
      </c>
      <c r="B11" s="94">
        <f>SUM(B7:B10)</f>
        <v>170</v>
      </c>
      <c r="C11" s="94">
        <f t="shared" ref="C11:D11" si="2">SUM(C7:C10)</f>
        <v>6120.5</v>
      </c>
      <c r="D11" s="94">
        <f t="shared" si="2"/>
        <v>6290.5</v>
      </c>
      <c r="E11" s="94">
        <v>5050</v>
      </c>
      <c r="F11" s="94">
        <f t="shared" si="1"/>
        <v>1240.5</v>
      </c>
    </row>
    <row r="12" spans="1:6" s="49" customFormat="1" x14ac:dyDescent="0.55000000000000004">
      <c r="A12" s="89" t="s">
        <v>239</v>
      </c>
      <c r="B12" s="90"/>
      <c r="C12" s="90"/>
      <c r="D12" s="90"/>
      <c r="E12" s="90"/>
      <c r="F12" s="90">
        <f t="shared" si="1"/>
        <v>0</v>
      </c>
    </row>
    <row r="13" spans="1:6" x14ac:dyDescent="0.55000000000000004">
      <c r="A13" s="91" t="s">
        <v>235</v>
      </c>
      <c r="B13" s="92">
        <v>106</v>
      </c>
      <c r="C13" s="92">
        <v>1652.5</v>
      </c>
      <c r="D13" s="92">
        <f t="shared" ref="D13:D16" si="3">SUM(B13:C13)</f>
        <v>1758.5</v>
      </c>
      <c r="E13" s="92">
        <v>1864</v>
      </c>
      <c r="F13" s="92">
        <f t="shared" si="1"/>
        <v>-105.5</v>
      </c>
    </row>
    <row r="14" spans="1:6" x14ac:dyDescent="0.55000000000000004">
      <c r="A14" s="91" t="s">
        <v>236</v>
      </c>
      <c r="B14" s="92">
        <v>0</v>
      </c>
      <c r="C14" s="92"/>
      <c r="D14" s="92">
        <f t="shared" si="3"/>
        <v>0</v>
      </c>
      <c r="E14" s="92">
        <v>0</v>
      </c>
      <c r="F14" s="92">
        <f t="shared" si="1"/>
        <v>0</v>
      </c>
    </row>
    <row r="15" spans="1:6" x14ac:dyDescent="0.55000000000000004">
      <c r="A15" s="91" t="s">
        <v>237</v>
      </c>
      <c r="B15" s="92">
        <v>0</v>
      </c>
      <c r="C15" s="92"/>
      <c r="D15" s="92">
        <f t="shared" si="3"/>
        <v>0</v>
      </c>
      <c r="E15" s="92">
        <v>0</v>
      </c>
      <c r="F15" s="92">
        <f t="shared" si="1"/>
        <v>0</v>
      </c>
    </row>
    <row r="16" spans="1:6" x14ac:dyDescent="0.55000000000000004">
      <c r="A16" s="91" t="s">
        <v>238</v>
      </c>
      <c r="B16" s="92">
        <v>13</v>
      </c>
      <c r="C16" s="92">
        <v>251</v>
      </c>
      <c r="D16" s="92">
        <f t="shared" si="3"/>
        <v>264</v>
      </c>
      <c r="E16" s="92">
        <v>249</v>
      </c>
      <c r="F16" s="92">
        <f t="shared" si="1"/>
        <v>15</v>
      </c>
    </row>
    <row r="17" spans="1:6" x14ac:dyDescent="0.55000000000000004">
      <c r="A17" s="93" t="s">
        <v>9</v>
      </c>
      <c r="B17" s="94">
        <f>SUM(B13:B16)</f>
        <v>119</v>
      </c>
      <c r="C17" s="94">
        <f t="shared" ref="C17:D17" si="4">SUM(C13:C16)</f>
        <v>1903.5</v>
      </c>
      <c r="D17" s="94">
        <f t="shared" si="4"/>
        <v>2022.5</v>
      </c>
      <c r="E17" s="94">
        <v>2113</v>
      </c>
      <c r="F17" s="94">
        <f t="shared" si="1"/>
        <v>-90.5</v>
      </c>
    </row>
    <row r="18" spans="1:6" s="49" customFormat="1" x14ac:dyDescent="0.55000000000000004">
      <c r="A18" s="95" t="s">
        <v>105</v>
      </c>
      <c r="B18" s="94">
        <v>76</v>
      </c>
      <c r="C18" s="94">
        <v>1201</v>
      </c>
      <c r="D18" s="94">
        <f>SUM(B18:C18)</f>
        <v>1277</v>
      </c>
      <c r="E18" s="94">
        <v>1309.5</v>
      </c>
      <c r="F18" s="94">
        <f t="shared" si="1"/>
        <v>-32.5</v>
      </c>
    </row>
    <row r="19" spans="1:6" s="49" customFormat="1" x14ac:dyDescent="0.55000000000000004">
      <c r="A19" s="89" t="s">
        <v>190</v>
      </c>
      <c r="B19" s="90"/>
      <c r="C19" s="90"/>
      <c r="D19" s="90"/>
      <c r="E19" s="90"/>
      <c r="F19" s="90">
        <f t="shared" si="1"/>
        <v>0</v>
      </c>
    </row>
    <row r="20" spans="1:6" x14ac:dyDescent="0.55000000000000004">
      <c r="A20" s="91" t="s">
        <v>235</v>
      </c>
      <c r="B20" s="92">
        <v>40</v>
      </c>
      <c r="C20" s="92"/>
      <c r="D20" s="92">
        <f t="shared" ref="D20:D23" si="5">SUM(B20:C20)</f>
        <v>40</v>
      </c>
      <c r="E20" s="92">
        <v>40</v>
      </c>
      <c r="F20" s="92">
        <f t="shared" si="1"/>
        <v>0</v>
      </c>
    </row>
    <row r="21" spans="1:6" x14ac:dyDescent="0.55000000000000004">
      <c r="A21" s="91" t="s">
        <v>236</v>
      </c>
      <c r="B21" s="92">
        <v>77</v>
      </c>
      <c r="C21" s="92">
        <v>620.5</v>
      </c>
      <c r="D21" s="92">
        <f t="shared" si="5"/>
        <v>697.5</v>
      </c>
      <c r="E21" s="92">
        <v>725.5</v>
      </c>
      <c r="F21" s="92">
        <f t="shared" si="1"/>
        <v>-28</v>
      </c>
    </row>
    <row r="22" spans="1:6" x14ac:dyDescent="0.55000000000000004">
      <c r="A22" s="91" t="s">
        <v>237</v>
      </c>
      <c r="B22" s="92">
        <v>18</v>
      </c>
      <c r="C22" s="92"/>
      <c r="D22" s="92">
        <f t="shared" si="5"/>
        <v>18</v>
      </c>
      <c r="E22" s="92">
        <v>18</v>
      </c>
      <c r="F22" s="92">
        <f t="shared" si="1"/>
        <v>0</v>
      </c>
    </row>
    <row r="23" spans="1:6" x14ac:dyDescent="0.55000000000000004">
      <c r="A23" s="91" t="s">
        <v>238</v>
      </c>
      <c r="B23" s="92">
        <v>34</v>
      </c>
      <c r="C23" s="92"/>
      <c r="D23" s="92">
        <f t="shared" si="5"/>
        <v>34</v>
      </c>
      <c r="E23" s="92">
        <v>34</v>
      </c>
      <c r="F23" s="92">
        <f t="shared" si="1"/>
        <v>0</v>
      </c>
    </row>
    <row r="24" spans="1:6" x14ac:dyDescent="0.55000000000000004">
      <c r="A24" s="93" t="s">
        <v>9</v>
      </c>
      <c r="B24" s="94">
        <f>SUM(B20:B23)</f>
        <v>169</v>
      </c>
      <c r="C24" s="94">
        <f t="shared" ref="C24:D24" si="6">SUM(C20:C23)</f>
        <v>620.5</v>
      </c>
      <c r="D24" s="94">
        <f t="shared" si="6"/>
        <v>789.5</v>
      </c>
      <c r="E24" s="94">
        <v>817.5</v>
      </c>
      <c r="F24" s="94">
        <f t="shared" si="1"/>
        <v>-28</v>
      </c>
    </row>
    <row r="25" spans="1:6" s="49" customFormat="1" x14ac:dyDescent="0.55000000000000004">
      <c r="A25" s="95" t="s">
        <v>14</v>
      </c>
      <c r="B25" s="94">
        <v>154</v>
      </c>
      <c r="C25" s="94">
        <v>1576</v>
      </c>
      <c r="D25" s="94">
        <f t="shared" ref="D25:D27" si="7">SUM(B25:C25)</f>
        <v>1730</v>
      </c>
      <c r="E25" s="94">
        <v>1732.5</v>
      </c>
      <c r="F25" s="94">
        <f t="shared" si="1"/>
        <v>-2.5</v>
      </c>
    </row>
    <row r="26" spans="1:6" s="49" customFormat="1" x14ac:dyDescent="0.55000000000000004">
      <c r="A26" s="96" t="s">
        <v>240</v>
      </c>
      <c r="B26" s="94">
        <v>31</v>
      </c>
      <c r="C26" s="94">
        <v>547</v>
      </c>
      <c r="D26" s="94">
        <f t="shared" si="7"/>
        <v>578</v>
      </c>
      <c r="E26" s="94">
        <v>588.5</v>
      </c>
      <c r="F26" s="94">
        <f t="shared" si="1"/>
        <v>-10.5</v>
      </c>
    </row>
    <row r="27" spans="1:6" s="49" customFormat="1" x14ac:dyDescent="0.55000000000000004">
      <c r="A27" s="95" t="s">
        <v>241</v>
      </c>
      <c r="B27" s="94">
        <v>62</v>
      </c>
      <c r="C27" s="94">
        <v>957.5</v>
      </c>
      <c r="D27" s="94">
        <f t="shared" si="7"/>
        <v>1019.5</v>
      </c>
      <c r="E27" s="94">
        <v>882</v>
      </c>
      <c r="F27" s="94">
        <f t="shared" si="1"/>
        <v>137.5</v>
      </c>
    </row>
    <row r="28" spans="1:6" s="49" customFormat="1" x14ac:dyDescent="0.55000000000000004">
      <c r="A28" s="89" t="s">
        <v>220</v>
      </c>
      <c r="B28" s="90"/>
      <c r="C28" s="90"/>
      <c r="D28" s="90"/>
      <c r="E28" s="90"/>
      <c r="F28" s="90">
        <f t="shared" si="1"/>
        <v>0</v>
      </c>
    </row>
    <row r="29" spans="1:6" x14ac:dyDescent="0.55000000000000004">
      <c r="A29" s="91" t="s">
        <v>235</v>
      </c>
      <c r="B29" s="92">
        <v>48</v>
      </c>
      <c r="C29" s="92">
        <v>101</v>
      </c>
      <c r="D29" s="92">
        <f t="shared" ref="D29:D34" si="8">SUM(B29:C29)</f>
        <v>149</v>
      </c>
      <c r="E29" s="92">
        <v>209</v>
      </c>
      <c r="F29" s="92">
        <f t="shared" si="1"/>
        <v>-60</v>
      </c>
    </row>
    <row r="30" spans="1:6" x14ac:dyDescent="0.55000000000000004">
      <c r="A30" s="91" t="s">
        <v>236</v>
      </c>
      <c r="B30" s="92">
        <v>6</v>
      </c>
      <c r="C30" s="92"/>
      <c r="D30" s="92">
        <f t="shared" si="8"/>
        <v>6</v>
      </c>
      <c r="E30" s="92">
        <v>198</v>
      </c>
      <c r="F30" s="92">
        <f t="shared" si="1"/>
        <v>-192</v>
      </c>
    </row>
    <row r="31" spans="1:6" x14ac:dyDescent="0.55000000000000004">
      <c r="A31" s="91" t="s">
        <v>237</v>
      </c>
      <c r="B31" s="92">
        <v>0</v>
      </c>
      <c r="C31" s="92"/>
      <c r="D31" s="92">
        <f t="shared" si="8"/>
        <v>0</v>
      </c>
      <c r="E31" s="92">
        <v>0</v>
      </c>
      <c r="F31" s="92">
        <f t="shared" si="1"/>
        <v>0</v>
      </c>
    </row>
    <row r="32" spans="1:6" x14ac:dyDescent="0.55000000000000004">
      <c r="A32" s="91" t="s">
        <v>238</v>
      </c>
      <c r="B32" s="92">
        <v>8</v>
      </c>
      <c r="C32" s="92"/>
      <c r="D32" s="92">
        <f t="shared" si="8"/>
        <v>8</v>
      </c>
      <c r="E32" s="92">
        <v>117</v>
      </c>
      <c r="F32" s="92">
        <f t="shared" si="1"/>
        <v>-109</v>
      </c>
    </row>
    <row r="33" spans="1:6" x14ac:dyDescent="0.55000000000000004">
      <c r="A33" s="93" t="s">
        <v>9</v>
      </c>
      <c r="B33" s="94">
        <f>SUM(B29:B32)</f>
        <v>62</v>
      </c>
      <c r="C33" s="94">
        <f t="shared" ref="C33:D33" si="9">SUM(C29:C32)</f>
        <v>101</v>
      </c>
      <c r="D33" s="94">
        <f t="shared" si="9"/>
        <v>163</v>
      </c>
      <c r="E33" s="94">
        <v>524</v>
      </c>
      <c r="F33" s="94">
        <f t="shared" si="1"/>
        <v>-361</v>
      </c>
    </row>
    <row r="34" spans="1:6" s="49" customFormat="1" x14ac:dyDescent="0.55000000000000004">
      <c r="A34" s="95" t="s">
        <v>242</v>
      </c>
      <c r="B34" s="94">
        <v>18</v>
      </c>
      <c r="C34" s="94">
        <v>46.5</v>
      </c>
      <c r="D34" s="94">
        <f t="shared" si="8"/>
        <v>64.5</v>
      </c>
      <c r="E34" s="94">
        <v>55</v>
      </c>
      <c r="F34" s="94">
        <f t="shared" si="1"/>
        <v>9.5</v>
      </c>
    </row>
    <row r="35" spans="1:6" x14ac:dyDescent="0.55000000000000004">
      <c r="A35" s="97" t="s">
        <v>9</v>
      </c>
      <c r="B35" s="98">
        <f>+B11+B17+B18+B24+B25+B26+B27+B33+B34</f>
        <v>861</v>
      </c>
      <c r="C35" s="98">
        <f t="shared" ref="C35:D35" si="10">+C11+C17+C18+C24+C25+C26+C27+C33+C34</f>
        <v>13073.5</v>
      </c>
      <c r="D35" s="98">
        <f t="shared" si="10"/>
        <v>13934.5</v>
      </c>
      <c r="E35" s="98">
        <v>13072</v>
      </c>
      <c r="F35" s="98">
        <f t="shared" si="1"/>
        <v>862.5</v>
      </c>
    </row>
  </sheetData>
  <mergeCells count="8">
    <mergeCell ref="E4:E5"/>
    <mergeCell ref="F4:F5"/>
    <mergeCell ref="A1:D1"/>
    <mergeCell ref="A2:D2"/>
    <mergeCell ref="A4:A5"/>
    <mergeCell ref="B4:B5"/>
    <mergeCell ref="C4:C5"/>
    <mergeCell ref="D4:D5"/>
  </mergeCells>
  <pageMargins left="0.70866141732283472" right="0.23622047244094491" top="0.39370078740157483" bottom="0.27559055118110237" header="0.19685039370078741" footer="0.15748031496062992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รวมส่วนกลาง 59 (ใหม่)</vt:lpstr>
      <vt:lpstr>ข้อมูลนักศึกษา ปีการศึกษา 58</vt:lpstr>
      <vt:lpstr>บุคลากร ปี งปม.59</vt:lpstr>
      <vt:lpstr>รวม นศ.58+บุคลากร 59</vt:lpstr>
      <vt:lpstr>'ข้อมูลนักศึกษา ปีการศึกษา 58'!Print_Titles</vt:lpstr>
      <vt:lpstr>'บุคลากร ปี งปม.59'!Print_Titles</vt:lpstr>
      <vt:lpstr>'รวม นศ.58+บุคลากร 59'!Print_Titles</vt:lpstr>
      <vt:lpstr>'รวมส่วนกลาง 59 (ใหม่)'!Print_Titles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Kanjana Noisomwong</cp:lastModifiedBy>
  <cp:lastPrinted>2017-05-01T08:40:20Z</cp:lastPrinted>
  <dcterms:created xsi:type="dcterms:W3CDTF">2017-05-01T08:35:45Z</dcterms:created>
  <dcterms:modified xsi:type="dcterms:W3CDTF">2017-05-01T08:43:16Z</dcterms:modified>
</cp:coreProperties>
</file>