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1\ต้นทุนต่อหลักสูตร 61\ค่าใช้จ่าย 61\คชจ.ทางตรง + ทางอ้อม 61\"/>
    </mc:Choice>
  </mc:AlternateContent>
  <bookViews>
    <workbookView xWindow="0" yWindow="0" windowWidth="19200" windowHeight="11520"/>
  </bookViews>
  <sheets>
    <sheet name="ปันส่วนกลาง 61" sheetId="11" r:id="rId1"/>
    <sheet name="Sheet3" sheetId="3" r:id="rId2"/>
  </sheets>
  <definedNames>
    <definedName name="_xlnm.Print_Titles" localSheetId="0">'ปันส่วนกลาง 61'!$1:$5</definedName>
  </definedNames>
  <calcPr calcId="152511"/>
</workbook>
</file>

<file path=xl/calcChain.xml><?xml version="1.0" encoding="utf-8"?>
<calcChain xmlns="http://schemas.openxmlformats.org/spreadsheetml/2006/main">
  <c r="AF51" i="11" l="1"/>
  <c r="AD51" i="11"/>
  <c r="AC51" i="11"/>
  <c r="AB51" i="11"/>
  <c r="AA51" i="11"/>
  <c r="AE51" i="11" s="1"/>
  <c r="Z51" i="11"/>
  <c r="Y51" i="11"/>
  <c r="X51" i="11"/>
  <c r="W51" i="11"/>
  <c r="U51" i="11"/>
  <c r="T51" i="11"/>
  <c r="S51" i="11"/>
  <c r="R51" i="11"/>
  <c r="V51" i="11" s="1"/>
  <c r="Q51" i="11"/>
  <c r="O51" i="11"/>
  <c r="N51" i="11"/>
  <c r="M51" i="11"/>
  <c r="L51" i="11"/>
  <c r="P51" i="11" s="1"/>
  <c r="J51" i="11"/>
  <c r="I51" i="11"/>
  <c r="H51" i="11"/>
  <c r="G51" i="11"/>
  <c r="K51" i="11" s="1"/>
  <c r="AF50" i="11"/>
  <c r="AD50" i="11"/>
  <c r="AC50" i="11"/>
  <c r="AB50" i="11"/>
  <c r="AA50" i="11"/>
  <c r="AE50" i="11" s="1"/>
  <c r="Z50" i="11"/>
  <c r="Y50" i="11"/>
  <c r="X50" i="11"/>
  <c r="W50" i="11"/>
  <c r="U50" i="11"/>
  <c r="T50" i="11"/>
  <c r="S50" i="11"/>
  <c r="R50" i="11"/>
  <c r="V50" i="11" s="1"/>
  <c r="Q50" i="11"/>
  <c r="O50" i="11"/>
  <c r="N50" i="11"/>
  <c r="M50" i="11"/>
  <c r="L50" i="11"/>
  <c r="P50" i="11" s="1"/>
  <c r="J50" i="11"/>
  <c r="I50" i="11"/>
  <c r="H50" i="11"/>
  <c r="G50" i="11"/>
  <c r="K50" i="11" s="1"/>
  <c r="AF49" i="11"/>
  <c r="AD49" i="11"/>
  <c r="AC49" i="11"/>
  <c r="AB49" i="11"/>
  <c r="AA49" i="11"/>
  <c r="AE49" i="11" s="1"/>
  <c r="Z49" i="11"/>
  <c r="Y49" i="11"/>
  <c r="X49" i="11"/>
  <c r="W49" i="11"/>
  <c r="U49" i="11"/>
  <c r="T49" i="11"/>
  <c r="S49" i="11"/>
  <c r="R49" i="11"/>
  <c r="V49" i="11" s="1"/>
  <c r="Q49" i="11"/>
  <c r="O49" i="11"/>
  <c r="N49" i="11"/>
  <c r="M49" i="11"/>
  <c r="L49" i="11"/>
  <c r="P49" i="11" s="1"/>
  <c r="J49" i="11"/>
  <c r="I49" i="11"/>
  <c r="H49" i="11"/>
  <c r="G49" i="11"/>
  <c r="K49" i="11" s="1"/>
  <c r="AF48" i="11"/>
  <c r="AD48" i="11"/>
  <c r="AC48" i="11"/>
  <c r="AB48" i="11"/>
  <c r="AA48" i="11"/>
  <c r="AE48" i="11" s="1"/>
  <c r="Z48" i="11"/>
  <c r="Y48" i="11"/>
  <c r="X48" i="11"/>
  <c r="W48" i="11"/>
  <c r="U48" i="11"/>
  <c r="T48" i="11"/>
  <c r="S48" i="11"/>
  <c r="R48" i="11"/>
  <c r="V48" i="11" s="1"/>
  <c r="Q48" i="11"/>
  <c r="O48" i="11"/>
  <c r="N48" i="11"/>
  <c r="M48" i="11"/>
  <c r="L48" i="11"/>
  <c r="P48" i="11" s="1"/>
  <c r="J48" i="11"/>
  <c r="I48" i="11"/>
  <c r="H48" i="11"/>
  <c r="G48" i="11"/>
  <c r="K48" i="11" s="1"/>
  <c r="AF47" i="11"/>
  <c r="AD47" i="11"/>
  <c r="AC47" i="11"/>
  <c r="AB47" i="11"/>
  <c r="AA47" i="11"/>
  <c r="AE47" i="11" s="1"/>
  <c r="Z47" i="11"/>
  <c r="Y47" i="11"/>
  <c r="X47" i="11"/>
  <c r="W47" i="11"/>
  <c r="U47" i="11"/>
  <c r="T47" i="11"/>
  <c r="S47" i="11"/>
  <c r="R47" i="11"/>
  <c r="V47" i="11" s="1"/>
  <c r="Q47" i="11"/>
  <c r="O47" i="11"/>
  <c r="N47" i="11"/>
  <c r="M47" i="11"/>
  <c r="L47" i="11"/>
  <c r="P47" i="11" s="1"/>
  <c r="J47" i="11"/>
  <c r="I47" i="11"/>
  <c r="H47" i="11"/>
  <c r="G47" i="11"/>
  <c r="K47" i="11" s="1"/>
  <c r="AF46" i="11"/>
  <c r="AD46" i="11"/>
  <c r="AC46" i="11"/>
  <c r="AB46" i="11"/>
  <c r="AA46" i="11"/>
  <c r="AE46" i="11" s="1"/>
  <c r="Z46" i="11"/>
  <c r="Y46" i="11"/>
  <c r="X46" i="11"/>
  <c r="W46" i="11"/>
  <c r="U46" i="11"/>
  <c r="T46" i="11"/>
  <c r="S46" i="11"/>
  <c r="R46" i="11"/>
  <c r="V46" i="11" s="1"/>
  <c r="Q46" i="11"/>
  <c r="O46" i="11"/>
  <c r="N46" i="11"/>
  <c r="M46" i="11"/>
  <c r="L46" i="11"/>
  <c r="P46" i="11" s="1"/>
  <c r="J46" i="11"/>
  <c r="I46" i="11"/>
  <c r="H46" i="11"/>
  <c r="G46" i="11"/>
  <c r="K46" i="11" s="1"/>
  <c r="AF45" i="11"/>
  <c r="AD45" i="11"/>
  <c r="AC45" i="11"/>
  <c r="AB45" i="11"/>
  <c r="AA45" i="11"/>
  <c r="AE45" i="11" s="1"/>
  <c r="Z45" i="11"/>
  <c r="Y45" i="11"/>
  <c r="X45" i="11"/>
  <c r="W45" i="11"/>
  <c r="U45" i="11"/>
  <c r="T45" i="11"/>
  <c r="S45" i="11"/>
  <c r="R45" i="11"/>
  <c r="V45" i="11" s="1"/>
  <c r="Q45" i="11"/>
  <c r="O45" i="11"/>
  <c r="N45" i="11"/>
  <c r="M45" i="11"/>
  <c r="L45" i="11"/>
  <c r="P45" i="11" s="1"/>
  <c r="J45" i="11"/>
  <c r="I45" i="11"/>
  <c r="H45" i="11"/>
  <c r="G45" i="11"/>
  <c r="K45" i="11" s="1"/>
  <c r="AF44" i="11"/>
  <c r="AD44" i="11"/>
  <c r="AC44" i="11"/>
  <c r="AB44" i="11"/>
  <c r="AA44" i="11"/>
  <c r="AE44" i="11" s="1"/>
  <c r="Z44" i="11"/>
  <c r="Y44" i="11"/>
  <c r="X44" i="11"/>
  <c r="W44" i="11"/>
  <c r="U44" i="11"/>
  <c r="T44" i="11"/>
  <c r="S44" i="11"/>
  <c r="R44" i="11"/>
  <c r="V44" i="11" s="1"/>
  <c r="Q44" i="11"/>
  <c r="O44" i="11"/>
  <c r="N44" i="11"/>
  <c r="M44" i="11"/>
  <c r="L44" i="11"/>
  <c r="P44" i="11" s="1"/>
  <c r="J44" i="11"/>
  <c r="I44" i="11"/>
  <c r="H44" i="11"/>
  <c r="G44" i="11"/>
  <c r="K44" i="11" s="1"/>
  <c r="AF43" i="11"/>
  <c r="AD43" i="11"/>
  <c r="AC43" i="11"/>
  <c r="AB43" i="11"/>
  <c r="AA43" i="11"/>
  <c r="AE43" i="11" s="1"/>
  <c r="Z43" i="11"/>
  <c r="Y43" i="11"/>
  <c r="X43" i="11"/>
  <c r="W43" i="11"/>
  <c r="U43" i="11"/>
  <c r="T43" i="11"/>
  <c r="S43" i="11"/>
  <c r="R43" i="11"/>
  <c r="V43" i="11" s="1"/>
  <c r="Q43" i="11"/>
  <c r="O43" i="11"/>
  <c r="N43" i="11"/>
  <c r="M43" i="11"/>
  <c r="L43" i="11"/>
  <c r="P43" i="11" s="1"/>
  <c r="J43" i="11"/>
  <c r="I43" i="11"/>
  <c r="H43" i="11"/>
  <c r="G43" i="11"/>
  <c r="K43" i="11" s="1"/>
  <c r="AF42" i="11"/>
  <c r="AD42" i="11"/>
  <c r="AC42" i="11"/>
  <c r="AB42" i="11"/>
  <c r="AA42" i="11"/>
  <c r="AE42" i="11" s="1"/>
  <c r="Z42" i="11"/>
  <c r="Y42" i="11"/>
  <c r="X42" i="11"/>
  <c r="W42" i="11"/>
  <c r="U42" i="11"/>
  <c r="T42" i="11"/>
  <c r="S42" i="11"/>
  <c r="R42" i="11"/>
  <c r="V42" i="11" s="1"/>
  <c r="Q42" i="11"/>
  <c r="O42" i="11"/>
  <c r="N42" i="11"/>
  <c r="M42" i="11"/>
  <c r="L42" i="11"/>
  <c r="P42" i="11" s="1"/>
  <c r="J42" i="11"/>
  <c r="I42" i="11"/>
  <c r="H42" i="11"/>
  <c r="G42" i="11"/>
  <c r="K42" i="11" s="1"/>
  <c r="AF41" i="11"/>
  <c r="AD41" i="11"/>
  <c r="AC41" i="11"/>
  <c r="AB41" i="11"/>
  <c r="AA41" i="11"/>
  <c r="AE41" i="11" s="1"/>
  <c r="Z41" i="11"/>
  <c r="Y41" i="11"/>
  <c r="X41" i="11"/>
  <c r="W41" i="11"/>
  <c r="U41" i="11"/>
  <c r="T41" i="11"/>
  <c r="S41" i="11"/>
  <c r="R41" i="11"/>
  <c r="V41" i="11" s="1"/>
  <c r="Q41" i="11"/>
  <c r="O41" i="11"/>
  <c r="N41" i="11"/>
  <c r="M41" i="11"/>
  <c r="L41" i="11"/>
  <c r="P41" i="11" s="1"/>
  <c r="J41" i="11"/>
  <c r="I41" i="11"/>
  <c r="H41" i="11"/>
  <c r="G41" i="11"/>
  <c r="K41" i="11" s="1"/>
  <c r="AF40" i="11"/>
  <c r="AD40" i="11"/>
  <c r="AC40" i="11"/>
  <c r="AB40" i="11"/>
  <c r="AA40" i="11"/>
  <c r="AE40" i="11" s="1"/>
  <c r="Z40" i="11"/>
  <c r="Y40" i="11"/>
  <c r="X40" i="11"/>
  <c r="W40" i="11"/>
  <c r="U40" i="11"/>
  <c r="T40" i="11"/>
  <c r="S40" i="11"/>
  <c r="R40" i="11"/>
  <c r="V40" i="11" s="1"/>
  <c r="Q40" i="11"/>
  <c r="O40" i="11"/>
  <c r="N40" i="11"/>
  <c r="M40" i="11"/>
  <c r="L40" i="11"/>
  <c r="P40" i="11" s="1"/>
  <c r="J40" i="11"/>
  <c r="I40" i="11"/>
  <c r="H40" i="11"/>
  <c r="G40" i="11"/>
  <c r="K40" i="11" s="1"/>
  <c r="AF39" i="11"/>
  <c r="AD39" i="11"/>
  <c r="AC39" i="11"/>
  <c r="AB39" i="11"/>
  <c r="AA39" i="11"/>
  <c r="AE39" i="11" s="1"/>
  <c r="Z39" i="11"/>
  <c r="Y39" i="11"/>
  <c r="X39" i="11"/>
  <c r="W39" i="11"/>
  <c r="U39" i="11"/>
  <c r="T39" i="11"/>
  <c r="S39" i="11"/>
  <c r="R39" i="11"/>
  <c r="V39" i="11" s="1"/>
  <c r="Q39" i="11"/>
  <c r="O39" i="11"/>
  <c r="N39" i="11"/>
  <c r="M39" i="11"/>
  <c r="L39" i="11"/>
  <c r="P39" i="11" s="1"/>
  <c r="J39" i="11"/>
  <c r="I39" i="11"/>
  <c r="H39" i="11"/>
  <c r="G39" i="11"/>
  <c r="K39" i="11" s="1"/>
  <c r="AF37" i="11"/>
  <c r="AD37" i="11"/>
  <c r="AC37" i="11"/>
  <c r="AB37" i="11"/>
  <c r="AA37" i="11"/>
  <c r="AE37" i="11" s="1"/>
  <c r="Z37" i="11"/>
  <c r="Y37" i="11"/>
  <c r="X37" i="11"/>
  <c r="W37" i="11"/>
  <c r="U37" i="11"/>
  <c r="T37" i="11"/>
  <c r="S37" i="11"/>
  <c r="R37" i="11"/>
  <c r="V37" i="11" s="1"/>
  <c r="Q37" i="11"/>
  <c r="O37" i="11"/>
  <c r="N37" i="11"/>
  <c r="M37" i="11"/>
  <c r="L37" i="11"/>
  <c r="P37" i="11" s="1"/>
  <c r="J37" i="11"/>
  <c r="I37" i="11"/>
  <c r="H37" i="11"/>
  <c r="G37" i="11"/>
  <c r="K37" i="11" s="1"/>
  <c r="AF36" i="11"/>
  <c r="AD36" i="11"/>
  <c r="AC36" i="11"/>
  <c r="AB36" i="11"/>
  <c r="AA36" i="11"/>
  <c r="AE36" i="11" s="1"/>
  <c r="Z36" i="11"/>
  <c r="Y36" i="11"/>
  <c r="X36" i="11"/>
  <c r="W36" i="11"/>
  <c r="U36" i="11"/>
  <c r="T36" i="11"/>
  <c r="S36" i="11"/>
  <c r="R36" i="11"/>
  <c r="V36" i="11" s="1"/>
  <c r="Q36" i="11"/>
  <c r="O36" i="11"/>
  <c r="N36" i="11"/>
  <c r="M36" i="11"/>
  <c r="L36" i="11"/>
  <c r="P36" i="11" s="1"/>
  <c r="J36" i="11"/>
  <c r="I36" i="11"/>
  <c r="H36" i="11"/>
  <c r="G36" i="11"/>
  <c r="K36" i="11" s="1"/>
  <c r="AF35" i="11"/>
  <c r="AD35" i="11"/>
  <c r="AC35" i="11"/>
  <c r="AB35" i="11"/>
  <c r="AA35" i="11"/>
  <c r="AE35" i="11" s="1"/>
  <c r="Z35" i="11"/>
  <c r="Y35" i="11"/>
  <c r="X35" i="11"/>
  <c r="W35" i="11"/>
  <c r="U35" i="11"/>
  <c r="T35" i="11"/>
  <c r="S35" i="11"/>
  <c r="R35" i="11"/>
  <c r="V35" i="11" s="1"/>
  <c r="Q35" i="11"/>
  <c r="O35" i="11"/>
  <c r="N35" i="11"/>
  <c r="M35" i="11"/>
  <c r="L35" i="11"/>
  <c r="P35" i="11" s="1"/>
  <c r="J35" i="11"/>
  <c r="I35" i="11"/>
  <c r="H35" i="11"/>
  <c r="G35" i="11"/>
  <c r="K35" i="11" s="1"/>
  <c r="AF34" i="11"/>
  <c r="AD34" i="11"/>
  <c r="AC34" i="11"/>
  <c r="AB34" i="11"/>
  <c r="AA34" i="11"/>
  <c r="AE34" i="11" s="1"/>
  <c r="Z34" i="11"/>
  <c r="Y34" i="11"/>
  <c r="X34" i="11"/>
  <c r="W34" i="11"/>
  <c r="U34" i="11"/>
  <c r="T34" i="11"/>
  <c r="S34" i="11"/>
  <c r="R34" i="11"/>
  <c r="V34" i="11" s="1"/>
  <c r="Q34" i="11"/>
  <c r="O34" i="11"/>
  <c r="N34" i="11"/>
  <c r="M34" i="11"/>
  <c r="L34" i="11"/>
  <c r="P34" i="11" s="1"/>
  <c r="J34" i="11"/>
  <c r="I34" i="11"/>
  <c r="H34" i="11"/>
  <c r="G34" i="11"/>
  <c r="K34" i="11" s="1"/>
  <c r="AF33" i="11"/>
  <c r="AD33" i="11"/>
  <c r="AC33" i="11"/>
  <c r="AB33" i="11"/>
  <c r="AA33" i="11"/>
  <c r="AE33" i="11" s="1"/>
  <c r="Z33" i="11"/>
  <c r="Y33" i="11"/>
  <c r="X33" i="11"/>
  <c r="W33" i="11"/>
  <c r="U33" i="11"/>
  <c r="T33" i="11"/>
  <c r="S33" i="11"/>
  <c r="R33" i="11"/>
  <c r="V33" i="11" s="1"/>
  <c r="Q33" i="11"/>
  <c r="O33" i="11"/>
  <c r="N33" i="11"/>
  <c r="M33" i="11"/>
  <c r="L33" i="11"/>
  <c r="P33" i="11" s="1"/>
  <c r="J33" i="11"/>
  <c r="I33" i="11"/>
  <c r="H33" i="11"/>
  <c r="G33" i="11"/>
  <c r="K33" i="11" s="1"/>
  <c r="AF32" i="11"/>
  <c r="AD32" i="11"/>
  <c r="AC32" i="11"/>
  <c r="AB32" i="11"/>
  <c r="AA32" i="11"/>
  <c r="AE32" i="11" s="1"/>
  <c r="Z32" i="11"/>
  <c r="Y32" i="11"/>
  <c r="X32" i="11"/>
  <c r="W32" i="11"/>
  <c r="U32" i="11"/>
  <c r="T32" i="11"/>
  <c r="S32" i="11"/>
  <c r="R32" i="11"/>
  <c r="V32" i="11" s="1"/>
  <c r="Q32" i="11"/>
  <c r="O32" i="11"/>
  <c r="N32" i="11"/>
  <c r="M32" i="11"/>
  <c r="L32" i="11"/>
  <c r="P32" i="11" s="1"/>
  <c r="J32" i="11"/>
  <c r="I32" i="11"/>
  <c r="H32" i="11"/>
  <c r="G32" i="11"/>
  <c r="K32" i="11" s="1"/>
  <c r="AF31" i="11"/>
  <c r="AD31" i="11"/>
  <c r="AC31" i="11"/>
  <c r="AB31" i="11"/>
  <c r="AA31" i="11"/>
  <c r="AE31" i="11" s="1"/>
  <c r="Z31" i="11"/>
  <c r="Y31" i="11"/>
  <c r="X31" i="11"/>
  <c r="W31" i="11"/>
  <c r="U31" i="11"/>
  <c r="T31" i="11"/>
  <c r="S31" i="11"/>
  <c r="R31" i="11"/>
  <c r="V31" i="11" s="1"/>
  <c r="Q31" i="11"/>
  <c r="O31" i="11"/>
  <c r="N31" i="11"/>
  <c r="M31" i="11"/>
  <c r="L31" i="11"/>
  <c r="P31" i="11" s="1"/>
  <c r="J31" i="11"/>
  <c r="I31" i="11"/>
  <c r="H31" i="11"/>
  <c r="G31" i="11"/>
  <c r="K31" i="11" s="1"/>
  <c r="AF30" i="11"/>
  <c r="AD30" i="11"/>
  <c r="AC30" i="11"/>
  <c r="AB30" i="11"/>
  <c r="AA30" i="11"/>
  <c r="AE30" i="11" s="1"/>
  <c r="Z30" i="11"/>
  <c r="Y30" i="11"/>
  <c r="X30" i="11"/>
  <c r="W30" i="11"/>
  <c r="U30" i="11"/>
  <c r="T30" i="11"/>
  <c r="S30" i="11"/>
  <c r="R30" i="11"/>
  <c r="V30" i="11" s="1"/>
  <c r="Q30" i="11"/>
  <c r="O30" i="11"/>
  <c r="N30" i="11"/>
  <c r="M30" i="11"/>
  <c r="L30" i="11"/>
  <c r="P30" i="11" s="1"/>
  <c r="J30" i="11"/>
  <c r="I30" i="11"/>
  <c r="H30" i="11"/>
  <c r="G30" i="11"/>
  <c r="K30" i="11" s="1"/>
  <c r="AF29" i="11"/>
  <c r="AD29" i="11"/>
  <c r="AC29" i="11"/>
  <c r="AB29" i="11"/>
  <c r="AA29" i="11"/>
  <c r="AE29" i="11" s="1"/>
  <c r="Z29" i="11"/>
  <c r="Y29" i="11"/>
  <c r="X29" i="11"/>
  <c r="W29" i="11"/>
  <c r="U29" i="11"/>
  <c r="T29" i="11"/>
  <c r="S29" i="11"/>
  <c r="R29" i="11"/>
  <c r="V29" i="11" s="1"/>
  <c r="Q29" i="11"/>
  <c r="O29" i="11"/>
  <c r="N29" i="11"/>
  <c r="M29" i="11"/>
  <c r="L29" i="11"/>
  <c r="P29" i="11" s="1"/>
  <c r="J29" i="11"/>
  <c r="I29" i="11"/>
  <c r="H29" i="11"/>
  <c r="G29" i="11"/>
  <c r="K29" i="11" s="1"/>
  <c r="AF27" i="11"/>
  <c r="AD27" i="11"/>
  <c r="AC27" i="11"/>
  <c r="AB27" i="11"/>
  <c r="AA27" i="11"/>
  <c r="AE27" i="11" s="1"/>
  <c r="Z27" i="11"/>
  <c r="Y27" i="11"/>
  <c r="X27" i="11"/>
  <c r="W27" i="11"/>
  <c r="U27" i="11"/>
  <c r="T27" i="11"/>
  <c r="S27" i="11"/>
  <c r="R27" i="11"/>
  <c r="V27" i="11" s="1"/>
  <c r="Q27" i="11"/>
  <c r="O27" i="11"/>
  <c r="N27" i="11"/>
  <c r="M27" i="11"/>
  <c r="L27" i="11"/>
  <c r="P27" i="11" s="1"/>
  <c r="J27" i="11"/>
  <c r="I27" i="11"/>
  <c r="H27" i="11"/>
  <c r="G27" i="11"/>
  <c r="K27" i="11" s="1"/>
  <c r="AF26" i="11"/>
  <c r="AD26" i="11"/>
  <c r="AC26" i="11"/>
  <c r="AB26" i="11"/>
  <c r="AA26" i="11"/>
  <c r="AE26" i="11" s="1"/>
  <c r="Z26" i="11"/>
  <c r="Y26" i="11"/>
  <c r="X26" i="11"/>
  <c r="W26" i="11"/>
  <c r="U26" i="11"/>
  <c r="T26" i="11"/>
  <c r="S26" i="11"/>
  <c r="R26" i="11"/>
  <c r="V26" i="11" s="1"/>
  <c r="Q26" i="11"/>
  <c r="O26" i="11"/>
  <c r="N26" i="11"/>
  <c r="M26" i="11"/>
  <c r="L26" i="11"/>
  <c r="P26" i="11" s="1"/>
  <c r="J26" i="11"/>
  <c r="I26" i="11"/>
  <c r="H26" i="11"/>
  <c r="G26" i="11"/>
  <c r="K26" i="11" s="1"/>
  <c r="AF25" i="11"/>
  <c r="AD25" i="11"/>
  <c r="AC25" i="11"/>
  <c r="AB25" i="11"/>
  <c r="AA25" i="11"/>
  <c r="AE25" i="11" s="1"/>
  <c r="Z25" i="11"/>
  <c r="Y25" i="11"/>
  <c r="X25" i="11"/>
  <c r="W25" i="11"/>
  <c r="U25" i="11"/>
  <c r="T25" i="11"/>
  <c r="S25" i="11"/>
  <c r="R25" i="11"/>
  <c r="V25" i="11" s="1"/>
  <c r="Q25" i="11"/>
  <c r="O25" i="11"/>
  <c r="N25" i="11"/>
  <c r="M25" i="11"/>
  <c r="L25" i="11"/>
  <c r="P25" i="11" s="1"/>
  <c r="J25" i="11"/>
  <c r="I25" i="11"/>
  <c r="H25" i="11"/>
  <c r="G25" i="11"/>
  <c r="K25" i="11" s="1"/>
  <c r="AF24" i="11"/>
  <c r="AD24" i="11"/>
  <c r="AC24" i="11"/>
  <c r="AB24" i="11"/>
  <c r="AA24" i="11"/>
  <c r="AE24" i="11" s="1"/>
  <c r="Z24" i="11"/>
  <c r="Y24" i="11"/>
  <c r="X24" i="11"/>
  <c r="W24" i="11"/>
  <c r="U24" i="11"/>
  <c r="T24" i="11"/>
  <c r="S24" i="11"/>
  <c r="R24" i="11"/>
  <c r="V24" i="11" s="1"/>
  <c r="Q24" i="11"/>
  <c r="O24" i="11"/>
  <c r="N24" i="11"/>
  <c r="M24" i="11"/>
  <c r="L24" i="11"/>
  <c r="P24" i="11" s="1"/>
  <c r="J24" i="11"/>
  <c r="I24" i="11"/>
  <c r="H24" i="11"/>
  <c r="G24" i="11"/>
  <c r="K24" i="11" s="1"/>
  <c r="AF23" i="11"/>
  <c r="AD23" i="11"/>
  <c r="AC23" i="11"/>
  <c r="AB23" i="11"/>
  <c r="AA23" i="11"/>
  <c r="AE23" i="11" s="1"/>
  <c r="Z23" i="11"/>
  <c r="Y23" i="11"/>
  <c r="X23" i="11"/>
  <c r="W23" i="11"/>
  <c r="U23" i="11"/>
  <c r="T23" i="11"/>
  <c r="S23" i="11"/>
  <c r="R23" i="11"/>
  <c r="V23" i="11" s="1"/>
  <c r="Q23" i="11"/>
  <c r="O23" i="11"/>
  <c r="N23" i="11"/>
  <c r="M23" i="11"/>
  <c r="L23" i="11"/>
  <c r="P23" i="11" s="1"/>
  <c r="J23" i="11"/>
  <c r="I23" i="11"/>
  <c r="H23" i="11"/>
  <c r="G23" i="11"/>
  <c r="K23" i="11" s="1"/>
  <c r="AF22" i="11"/>
  <c r="AD22" i="11"/>
  <c r="AC22" i="11"/>
  <c r="AB22" i="11"/>
  <c r="AA22" i="11"/>
  <c r="AE22" i="11" s="1"/>
  <c r="Z22" i="11"/>
  <c r="Y22" i="11"/>
  <c r="X22" i="11"/>
  <c r="W22" i="11"/>
  <c r="U22" i="11"/>
  <c r="T22" i="11"/>
  <c r="S22" i="11"/>
  <c r="R22" i="11"/>
  <c r="V22" i="11" s="1"/>
  <c r="Q22" i="11"/>
  <c r="O22" i="11"/>
  <c r="N22" i="11"/>
  <c r="M22" i="11"/>
  <c r="L22" i="11"/>
  <c r="P22" i="11" s="1"/>
  <c r="J22" i="11"/>
  <c r="I22" i="11"/>
  <c r="H22" i="11"/>
  <c r="G22" i="11"/>
  <c r="K22" i="11" s="1"/>
  <c r="AF21" i="11"/>
  <c r="AD21" i="11"/>
  <c r="AC21" i="11"/>
  <c r="AB21" i="11"/>
  <c r="AA21" i="11"/>
  <c r="AE21" i="11" s="1"/>
  <c r="Z21" i="11"/>
  <c r="Y21" i="11"/>
  <c r="X21" i="11"/>
  <c r="W21" i="11"/>
  <c r="U21" i="11"/>
  <c r="T21" i="11"/>
  <c r="S21" i="11"/>
  <c r="R21" i="11"/>
  <c r="V21" i="11" s="1"/>
  <c r="Q21" i="11"/>
  <c r="O21" i="11"/>
  <c r="N21" i="11"/>
  <c r="M21" i="11"/>
  <c r="L21" i="11"/>
  <c r="P21" i="11" s="1"/>
  <c r="J21" i="11"/>
  <c r="I21" i="11"/>
  <c r="H21" i="11"/>
  <c r="G21" i="11"/>
  <c r="K21" i="11" s="1"/>
  <c r="AF20" i="11"/>
  <c r="AD20" i="11"/>
  <c r="AC20" i="11"/>
  <c r="AB20" i="11"/>
  <c r="AA20" i="11"/>
  <c r="AE20" i="11" s="1"/>
  <c r="Z20" i="11"/>
  <c r="Y20" i="11"/>
  <c r="X20" i="11"/>
  <c r="W20" i="11"/>
  <c r="U20" i="11"/>
  <c r="T20" i="11"/>
  <c r="S20" i="11"/>
  <c r="R20" i="11"/>
  <c r="V20" i="11" s="1"/>
  <c r="Q20" i="11"/>
  <c r="O20" i="11"/>
  <c r="N20" i="11"/>
  <c r="M20" i="11"/>
  <c r="L20" i="11"/>
  <c r="P20" i="11" s="1"/>
  <c r="J20" i="11"/>
  <c r="I20" i="11"/>
  <c r="H20" i="11"/>
  <c r="G20" i="11"/>
  <c r="K20" i="11" s="1"/>
  <c r="AF19" i="11"/>
  <c r="AD19" i="11"/>
  <c r="AC19" i="11"/>
  <c r="AB19" i="11"/>
  <c r="AA19" i="11"/>
  <c r="AE19" i="11" s="1"/>
  <c r="Z19" i="11"/>
  <c r="Y19" i="11"/>
  <c r="X19" i="11"/>
  <c r="W19" i="11"/>
  <c r="U19" i="11"/>
  <c r="T19" i="11"/>
  <c r="S19" i="11"/>
  <c r="R19" i="11"/>
  <c r="V19" i="11" s="1"/>
  <c r="Q19" i="11"/>
  <c r="O19" i="11"/>
  <c r="N19" i="11"/>
  <c r="M19" i="11"/>
  <c r="L19" i="11"/>
  <c r="P19" i="11" s="1"/>
  <c r="J19" i="11"/>
  <c r="I19" i="11"/>
  <c r="H19" i="11"/>
  <c r="G19" i="11"/>
  <c r="K19" i="11" s="1"/>
  <c r="AF18" i="11"/>
  <c r="AD18" i="11"/>
  <c r="AC18" i="11"/>
  <c r="AB18" i="11"/>
  <c r="AA18" i="11"/>
  <c r="AE18" i="11" s="1"/>
  <c r="Z18" i="11"/>
  <c r="Y18" i="11"/>
  <c r="X18" i="11"/>
  <c r="W18" i="11"/>
  <c r="U18" i="11"/>
  <c r="T18" i="11"/>
  <c r="S18" i="11"/>
  <c r="R18" i="11"/>
  <c r="V18" i="11" s="1"/>
  <c r="Q18" i="11"/>
  <c r="O18" i="11"/>
  <c r="N18" i="11"/>
  <c r="M18" i="11"/>
  <c r="L18" i="11"/>
  <c r="P18" i="11" s="1"/>
  <c r="J18" i="11"/>
  <c r="I18" i="11"/>
  <c r="H18" i="11"/>
  <c r="G18" i="11"/>
  <c r="K18" i="11" s="1"/>
  <c r="AF17" i="11"/>
  <c r="AD17" i="11"/>
  <c r="AC17" i="11"/>
  <c r="AB17" i="11"/>
  <c r="AA17" i="11"/>
  <c r="AE17" i="11" s="1"/>
  <c r="Z17" i="11"/>
  <c r="Y17" i="11"/>
  <c r="X17" i="11"/>
  <c r="W17" i="11"/>
  <c r="U17" i="11"/>
  <c r="T17" i="11"/>
  <c r="S17" i="11"/>
  <c r="R17" i="11"/>
  <c r="V17" i="11" s="1"/>
  <c r="Q17" i="11"/>
  <c r="O17" i="11"/>
  <c r="N17" i="11"/>
  <c r="M17" i="11"/>
  <c r="L17" i="11"/>
  <c r="P17" i="11" s="1"/>
  <c r="J17" i="11"/>
  <c r="I17" i="11"/>
  <c r="H17" i="11"/>
  <c r="G17" i="11"/>
  <c r="K17" i="11" s="1"/>
  <c r="AF16" i="11"/>
  <c r="AD16" i="11"/>
  <c r="AC16" i="11"/>
  <c r="AB16" i="11"/>
  <c r="AA16" i="11"/>
  <c r="AE16" i="11" s="1"/>
  <c r="Z16" i="11"/>
  <c r="Y16" i="11"/>
  <c r="X16" i="11"/>
  <c r="W16" i="11"/>
  <c r="U16" i="11"/>
  <c r="T16" i="11"/>
  <c r="S16" i="11"/>
  <c r="R16" i="11"/>
  <c r="V16" i="11" s="1"/>
  <c r="Q16" i="11"/>
  <c r="O16" i="11"/>
  <c r="N16" i="11"/>
  <c r="M16" i="11"/>
  <c r="L16" i="11"/>
  <c r="P16" i="11" s="1"/>
  <c r="J16" i="11"/>
  <c r="I16" i="11"/>
  <c r="H16" i="11"/>
  <c r="G16" i="11"/>
  <c r="K16" i="11" s="1"/>
  <c r="AF15" i="11"/>
  <c r="AD15" i="11"/>
  <c r="AC15" i="11"/>
  <c r="AB15" i="11"/>
  <c r="AA15" i="11"/>
  <c r="AE15" i="11" s="1"/>
  <c r="Z15" i="11"/>
  <c r="Y15" i="11"/>
  <c r="X15" i="11"/>
  <c r="W15" i="11"/>
  <c r="U15" i="11"/>
  <c r="T15" i="11"/>
  <c r="S15" i="11"/>
  <c r="R15" i="11"/>
  <c r="V15" i="11" s="1"/>
  <c r="Q15" i="11"/>
  <c r="O15" i="11"/>
  <c r="N15" i="11"/>
  <c r="M15" i="11"/>
  <c r="L15" i="11"/>
  <c r="P15" i="11" s="1"/>
  <c r="J15" i="11"/>
  <c r="I15" i="11"/>
  <c r="H15" i="11"/>
  <c r="G15" i="11"/>
  <c r="K15" i="11" s="1"/>
  <c r="AF14" i="11"/>
  <c r="AD14" i="11"/>
  <c r="AC14" i="11"/>
  <c r="AB14" i="11"/>
  <c r="AA14" i="11"/>
  <c r="AE14" i="11" s="1"/>
  <c r="Z14" i="11"/>
  <c r="Y14" i="11"/>
  <c r="X14" i="11"/>
  <c r="W14" i="11"/>
  <c r="U14" i="11"/>
  <c r="T14" i="11"/>
  <c r="S14" i="11"/>
  <c r="R14" i="11"/>
  <c r="V14" i="11" s="1"/>
  <c r="Q14" i="11"/>
  <c r="O14" i="11"/>
  <c r="N14" i="11"/>
  <c r="M14" i="11"/>
  <c r="L14" i="11"/>
  <c r="P14" i="11" s="1"/>
  <c r="J14" i="11"/>
  <c r="I14" i="11"/>
  <c r="H14" i="11"/>
  <c r="G14" i="11"/>
  <c r="K14" i="11" s="1"/>
  <c r="AF13" i="11"/>
  <c r="AD13" i="11"/>
  <c r="AC13" i="11"/>
  <c r="AB13" i="11"/>
  <c r="AA13" i="11"/>
  <c r="AE13" i="11" s="1"/>
  <c r="Z13" i="11"/>
  <c r="Y13" i="11"/>
  <c r="X13" i="11"/>
  <c r="W13" i="11"/>
  <c r="U13" i="11"/>
  <c r="T13" i="11"/>
  <c r="S13" i="11"/>
  <c r="R13" i="11"/>
  <c r="V13" i="11" s="1"/>
  <c r="Q13" i="11"/>
  <c r="O13" i="11"/>
  <c r="N13" i="11"/>
  <c r="M13" i="11"/>
  <c r="L13" i="11"/>
  <c r="P13" i="11" s="1"/>
  <c r="J13" i="11"/>
  <c r="I13" i="11"/>
  <c r="H13" i="11"/>
  <c r="G13" i="11"/>
  <c r="K13" i="11" s="1"/>
  <c r="AF12" i="11"/>
  <c r="AD12" i="11"/>
  <c r="AC12" i="11"/>
  <c r="AB12" i="11"/>
  <c r="AA12" i="11"/>
  <c r="AE12" i="11" s="1"/>
  <c r="Z12" i="11"/>
  <c r="Y12" i="11"/>
  <c r="X12" i="11"/>
  <c r="W12" i="11"/>
  <c r="U12" i="11"/>
  <c r="T12" i="11"/>
  <c r="S12" i="11"/>
  <c r="R12" i="11"/>
  <c r="V12" i="11" s="1"/>
  <c r="Q12" i="11"/>
  <c r="O12" i="11"/>
  <c r="N12" i="11"/>
  <c r="M12" i="11"/>
  <c r="L12" i="11"/>
  <c r="P12" i="11" s="1"/>
  <c r="J12" i="11"/>
  <c r="I12" i="11"/>
  <c r="H12" i="11"/>
  <c r="G12" i="11"/>
  <c r="K12" i="11" s="1"/>
  <c r="AF11" i="11"/>
  <c r="AD11" i="11"/>
  <c r="AC11" i="11"/>
  <c r="AB11" i="11"/>
  <c r="AA11" i="11"/>
  <c r="AE11" i="11" s="1"/>
  <c r="Z11" i="11"/>
  <c r="Y11" i="11"/>
  <c r="X11" i="11"/>
  <c r="W11" i="11"/>
  <c r="U11" i="11"/>
  <c r="T11" i="11"/>
  <c r="S11" i="11"/>
  <c r="R11" i="11"/>
  <c r="V11" i="11" s="1"/>
  <c r="Q11" i="11"/>
  <c r="O11" i="11"/>
  <c r="N11" i="11"/>
  <c r="M11" i="11"/>
  <c r="L11" i="11"/>
  <c r="P11" i="11" s="1"/>
  <c r="J11" i="11"/>
  <c r="I11" i="11"/>
  <c r="H11" i="11"/>
  <c r="G11" i="11"/>
  <c r="K11" i="11" s="1"/>
  <c r="AF10" i="11"/>
  <c r="AD10" i="11"/>
  <c r="AC10" i="11"/>
  <c r="AB10" i="11"/>
  <c r="AA10" i="11"/>
  <c r="AE10" i="11" s="1"/>
  <c r="Z10" i="11"/>
  <c r="Y10" i="11"/>
  <c r="X10" i="11"/>
  <c r="W10" i="11"/>
  <c r="U10" i="11"/>
  <c r="T10" i="11"/>
  <c r="S10" i="11"/>
  <c r="R10" i="11"/>
  <c r="V10" i="11" s="1"/>
  <c r="Q10" i="11"/>
  <c r="O10" i="11"/>
  <c r="N10" i="11"/>
  <c r="M10" i="11"/>
  <c r="L10" i="11"/>
  <c r="P10" i="11" s="1"/>
  <c r="J10" i="11"/>
  <c r="I10" i="11"/>
  <c r="H10" i="11"/>
  <c r="G10" i="11"/>
  <c r="K10" i="11" s="1"/>
  <c r="AF9" i="11"/>
  <c r="AD9" i="11"/>
  <c r="AC9" i="11"/>
  <c r="AB9" i="11"/>
  <c r="AA9" i="11"/>
  <c r="AE9" i="11" s="1"/>
  <c r="Z9" i="11"/>
  <c r="Y9" i="11"/>
  <c r="X9" i="11"/>
  <c r="W9" i="11"/>
  <c r="U9" i="11"/>
  <c r="T9" i="11"/>
  <c r="S9" i="11"/>
  <c r="R9" i="11"/>
  <c r="V9" i="11" s="1"/>
  <c r="Q9" i="11"/>
  <c r="O9" i="11"/>
  <c r="N9" i="11"/>
  <c r="M9" i="11"/>
  <c r="L9" i="11"/>
  <c r="P9" i="11" s="1"/>
  <c r="J9" i="11"/>
  <c r="I9" i="11"/>
  <c r="H9" i="11"/>
  <c r="G9" i="11"/>
  <c r="K9" i="11" s="1"/>
  <c r="AF8" i="11"/>
  <c r="AD8" i="11"/>
  <c r="AC8" i="11"/>
  <c r="AB8" i="11"/>
  <c r="AA8" i="11"/>
  <c r="AE8" i="11" s="1"/>
  <c r="Z8" i="11"/>
  <c r="Y8" i="11"/>
  <c r="X8" i="11"/>
  <c r="W8" i="11"/>
  <c r="U8" i="11"/>
  <c r="T8" i="11"/>
  <c r="S8" i="11"/>
  <c r="R8" i="11"/>
  <c r="V8" i="11" s="1"/>
  <c r="Q8" i="11"/>
  <c r="O8" i="11"/>
  <c r="N8" i="11"/>
  <c r="M8" i="11"/>
  <c r="L8" i="11"/>
  <c r="P8" i="11" s="1"/>
  <c r="J8" i="11"/>
  <c r="I8" i="11"/>
  <c r="H8" i="11"/>
  <c r="G8" i="11"/>
  <c r="K8" i="11" s="1"/>
  <c r="AF7" i="11"/>
  <c r="AD7" i="11"/>
  <c r="AC7" i="11"/>
  <c r="AB7" i="11"/>
  <c r="AA7" i="11"/>
  <c r="AE7" i="11" s="1"/>
  <c r="Z7" i="11"/>
  <c r="Y7" i="11"/>
  <c r="X7" i="11"/>
  <c r="W7" i="11"/>
  <c r="U7" i="11"/>
  <c r="T7" i="11"/>
  <c r="S7" i="11"/>
  <c r="R7" i="11"/>
  <c r="V7" i="11" s="1"/>
  <c r="Q7" i="11"/>
  <c r="O7" i="11"/>
  <c r="N7" i="11"/>
  <c r="M7" i="11"/>
  <c r="L7" i="11"/>
  <c r="P7" i="11" s="1"/>
  <c r="J7" i="11"/>
  <c r="I7" i="11"/>
  <c r="H7" i="11"/>
  <c r="G7" i="11"/>
  <c r="K7" i="11" s="1"/>
  <c r="F52" i="11" l="1"/>
  <c r="H52" i="11" s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AF6" i="11"/>
  <c r="AD6" i="11"/>
  <c r="AC6" i="11"/>
  <c r="AB6" i="11"/>
  <c r="AA6" i="11"/>
  <c r="Z6" i="11"/>
  <c r="Y6" i="11"/>
  <c r="X6" i="11"/>
  <c r="W6" i="11"/>
  <c r="U6" i="11"/>
  <c r="T6" i="11"/>
  <c r="S6" i="11"/>
  <c r="R6" i="11"/>
  <c r="V6" i="11" s="1"/>
  <c r="Q6" i="11"/>
  <c r="O6" i="11"/>
  <c r="N6" i="11"/>
  <c r="M6" i="11"/>
  <c r="L6" i="11"/>
  <c r="J6" i="11"/>
  <c r="I6" i="11"/>
  <c r="H6" i="11"/>
  <c r="G6" i="11"/>
  <c r="P6" i="11"/>
  <c r="G28" i="11"/>
  <c r="K28" i="11" s="1"/>
  <c r="H28" i="11"/>
  <c r="J28" i="11"/>
  <c r="L28" i="11"/>
  <c r="O28" i="11"/>
  <c r="Q28" i="11"/>
  <c r="S28" i="11"/>
  <c r="T28" i="11"/>
  <c r="V28" i="11" s="1"/>
  <c r="W28" i="11"/>
  <c r="X28" i="11"/>
  <c r="Y28" i="11"/>
  <c r="Z28" i="11"/>
  <c r="AA28" i="11"/>
  <c r="AE28" i="11" s="1"/>
  <c r="AF28" i="11"/>
  <c r="G38" i="11"/>
  <c r="H38" i="11"/>
  <c r="J38" i="11"/>
  <c r="L38" i="11"/>
  <c r="O38" i="11"/>
  <c r="P38" i="11"/>
  <c r="Q38" i="11"/>
  <c r="S38" i="11"/>
  <c r="T38" i="11"/>
  <c r="V38" i="11"/>
  <c r="W38" i="11"/>
  <c r="X38" i="11"/>
  <c r="Y38" i="11"/>
  <c r="Z38" i="11"/>
  <c r="AA38" i="11"/>
  <c r="AE38" i="11"/>
  <c r="AF38" i="11"/>
  <c r="G52" i="11"/>
  <c r="W52" i="11" l="1"/>
  <c r="AF52" i="11"/>
  <c r="O52" i="11"/>
  <c r="Y52" i="11"/>
  <c r="S52" i="11"/>
  <c r="J52" i="11"/>
  <c r="K52" i="11" s="1"/>
  <c r="AA52" i="11"/>
  <c r="AE52" i="11" s="1"/>
  <c r="X52" i="11"/>
  <c r="T52" i="11"/>
  <c r="V52" i="11" s="1"/>
  <c r="Q52" i="11"/>
  <c r="L52" i="11"/>
  <c r="P52" i="11" s="1"/>
  <c r="AD54" i="11"/>
  <c r="Z52" i="11"/>
  <c r="K38" i="11"/>
  <c r="AG38" i="11" s="1"/>
  <c r="AH38" i="11" s="1"/>
  <c r="P28" i="11"/>
  <c r="AG28" i="11" s="1"/>
  <c r="AH28" i="11" s="1"/>
  <c r="AG8" i="11"/>
  <c r="AH8" i="11" s="1"/>
  <c r="AG12" i="11"/>
  <c r="AH12" i="11" s="1"/>
  <c r="AG16" i="11"/>
  <c r="AH16" i="11" s="1"/>
  <c r="AG20" i="11"/>
  <c r="AH20" i="11" s="1"/>
  <c r="AG30" i="11"/>
  <c r="AH30" i="11" s="1"/>
  <c r="AG46" i="11"/>
  <c r="AH46" i="11" s="1"/>
  <c r="AG44" i="11"/>
  <c r="AH44" i="11" s="1"/>
  <c r="AG42" i="11"/>
  <c r="AH42" i="11" s="1"/>
  <c r="AG40" i="11"/>
  <c r="AH40" i="11" s="1"/>
  <c r="K6" i="11"/>
  <c r="AG18" i="11"/>
  <c r="AH18" i="11" s="1"/>
  <c r="AG14" i="11"/>
  <c r="AH14" i="11" s="1"/>
  <c r="AG10" i="11"/>
  <c r="AH10" i="11" s="1"/>
  <c r="AE6" i="11"/>
  <c r="D115" i="11"/>
  <c r="Y54" i="11" l="1"/>
  <c r="J54" i="11"/>
  <c r="X54" i="11"/>
  <c r="AG52" i="11"/>
  <c r="AH52" i="11" s="1"/>
  <c r="AG47" i="11"/>
  <c r="AH47" i="11" s="1"/>
  <c r="AG39" i="11"/>
  <c r="AH39" i="11" s="1"/>
  <c r="W54" i="11"/>
  <c r="M54" i="11"/>
  <c r="AC54" i="11"/>
  <c r="T54" i="11"/>
  <c r="AB54" i="11"/>
  <c r="S54" i="11"/>
  <c r="N54" i="11"/>
  <c r="I54" i="11"/>
  <c r="L54" i="11"/>
  <c r="Z54" i="11"/>
  <c r="AG45" i="11"/>
  <c r="AH45" i="11" s="1"/>
  <c r="AG35" i="11"/>
  <c r="AH35" i="11" s="1"/>
  <c r="AG27" i="11"/>
  <c r="AH27" i="11" s="1"/>
  <c r="AG23" i="11"/>
  <c r="AH23" i="11" s="1"/>
  <c r="AG19" i="11"/>
  <c r="AH19" i="11" s="1"/>
  <c r="AE54" i="11"/>
  <c r="AA54" i="11"/>
  <c r="R54" i="11"/>
  <c r="H54" i="11"/>
  <c r="O54" i="11"/>
  <c r="AF54" i="11"/>
  <c r="AG15" i="11"/>
  <c r="AH15" i="11" s="1"/>
  <c r="AG11" i="11"/>
  <c r="AH11" i="11" s="1"/>
  <c r="U54" i="11"/>
  <c r="Q54" i="11"/>
  <c r="K54" i="11"/>
  <c r="G54" i="11"/>
  <c r="AG41" i="11"/>
  <c r="AH41" i="11" s="1"/>
  <c r="AG29" i="11"/>
  <c r="AH29" i="11" s="1"/>
  <c r="AG6" i="11"/>
  <c r="AG9" i="11"/>
  <c r="AH9" i="11" s="1"/>
  <c r="AG13" i="11"/>
  <c r="AH13" i="11" s="1"/>
  <c r="AG17" i="11"/>
  <c r="AH17" i="11" s="1"/>
  <c r="AG21" i="11"/>
  <c r="AH21" i="11" s="1"/>
  <c r="AG24" i="11"/>
  <c r="AH24" i="11" s="1"/>
  <c r="AG26" i="11"/>
  <c r="AH26" i="11" s="1"/>
  <c r="AG31" i="11"/>
  <c r="AH31" i="11" s="1"/>
  <c r="AG34" i="11"/>
  <c r="AH34" i="11" s="1"/>
  <c r="AG36" i="11"/>
  <c r="AH36" i="11" s="1"/>
  <c r="D54" i="11"/>
  <c r="E54" i="11"/>
  <c r="E25" i="11"/>
  <c r="AG43" i="11" l="1"/>
  <c r="AH43" i="11" s="1"/>
  <c r="V54" i="11"/>
  <c r="AG25" i="11"/>
  <c r="AH25" i="11" s="1"/>
  <c r="AG33" i="11"/>
  <c r="AH33" i="11" s="1"/>
  <c r="AG37" i="11"/>
  <c r="AH37" i="11" s="1"/>
  <c r="P54" i="11"/>
  <c r="AH6" i="11"/>
  <c r="AG54" i="11"/>
  <c r="D35" i="11"/>
  <c r="D33" i="11"/>
  <c r="D31" i="11"/>
  <c r="D29" i="11"/>
  <c r="D25" i="11"/>
  <c r="D24" i="11"/>
  <c r="D23" i="11"/>
  <c r="D21" i="11"/>
  <c r="D16" i="11"/>
  <c r="D6" i="11"/>
  <c r="AH54" i="11" l="1"/>
  <c r="F6" i="11" l="1"/>
  <c r="F54" i="11" l="1"/>
</calcChain>
</file>

<file path=xl/comments1.xml><?xml version="1.0" encoding="utf-8"?>
<comments xmlns="http://schemas.openxmlformats.org/spreadsheetml/2006/main">
  <authors>
    <author>Na</author>
    <author>Fis</author>
    <author>Kanjana Noisomwong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Na:</t>
        </r>
        <r>
          <rPr>
            <sz val="9"/>
            <color indexed="81"/>
            <rFont val="Tahoma"/>
            <family val="2"/>
          </rPr>
          <t xml:space="preserve">
จำนวนอาจารย์ + เจ้าหน้าที่ + นักศึกษา คณะ หารด้วย จำนวนทั้งสิ้น</t>
        </r>
      </text>
    </comment>
    <comment ref="D21" authorId="1" shapeId="0">
      <text>
        <r>
          <rPr>
            <b/>
            <sz val="8"/>
            <color indexed="81"/>
            <rFont val="Tahoma"/>
            <family val="2"/>
          </rPr>
          <t>Fis:</t>
        </r>
        <r>
          <rPr>
            <sz val="8"/>
            <color indexed="81"/>
            <rFont val="Tahoma"/>
            <family val="2"/>
          </rPr>
          <t xml:space="preserve">
ค่ารับรองและพิธีการ 19,135.-</t>
        </r>
      </text>
    </comment>
    <comment ref="D27" authorId="1" shapeId="0">
      <text>
        <r>
          <rPr>
            <b/>
            <sz val="8"/>
            <color indexed="81"/>
            <rFont val="Tahoma"/>
            <family val="2"/>
          </rPr>
          <t>Fis:</t>
        </r>
        <r>
          <rPr>
            <sz val="8"/>
            <color indexed="81"/>
            <rFont val="Tahoma"/>
            <family val="2"/>
          </rPr>
          <t xml:space="preserve">
รวมวัสดุ งบเงินอุดหนุน 2,952.13+12,000
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Na:</t>
        </r>
        <r>
          <rPr>
            <sz val="9"/>
            <color indexed="81"/>
            <rFont val="Tahoma"/>
            <family val="2"/>
          </rPr>
          <t xml:space="preserve">
จำนวนอาจารย์ + เจ้าหน้าที่ + นักศึกษา คณะ หารด้วย จำนวนทั้งสิ้น</t>
        </r>
      </text>
    </comment>
    <comment ref="B33" authorId="2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C39" authorId="0" shapeId="0">
      <text>
        <r>
          <rPr>
            <b/>
            <sz val="9"/>
            <color indexed="81"/>
            <rFont val="Tahoma"/>
            <family val="2"/>
          </rPr>
          <t>Na:</t>
        </r>
        <r>
          <rPr>
            <sz val="9"/>
            <color indexed="81"/>
            <rFont val="Tahoma"/>
            <family val="2"/>
          </rPr>
          <t xml:space="preserve">
จำนวนอาจารย์ + เจ้าหน้าที่ + นักศึกษา คณะ หารด้วย จำนวนทั้งสิ้น</t>
        </r>
      </text>
    </comment>
    <comment ref="B45" authorId="2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B46" authorId="2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sharedStrings.xml><?xml version="1.0" encoding="utf-8"?>
<sst xmlns="http://schemas.openxmlformats.org/spreadsheetml/2006/main" count="136" uniqueCount="80">
  <si>
    <t>ลำดับ</t>
  </si>
  <si>
    <t>ประเภทค่าใช้จ่าย</t>
  </si>
  <si>
    <t>งปม.</t>
  </si>
  <si>
    <t>รายได้</t>
  </si>
  <si>
    <t>รวม</t>
  </si>
  <si>
    <t>เงินเดือน</t>
  </si>
  <si>
    <t>เงินประจำตำแหน่ง</t>
  </si>
  <si>
    <t>ค่าล่วงเวลา</t>
  </si>
  <si>
    <t>เงินตอบแทนพิเศษเต็มขั้น</t>
  </si>
  <si>
    <t>ค่าตอบแทนพนักงานราชการ</t>
  </si>
  <si>
    <t>เงินเพิ่มค่าครองชีพ</t>
  </si>
  <si>
    <t>ค่าตอบแทนรถประจำตำแหน่ง</t>
  </si>
  <si>
    <t>ค่าจ้างที่ปรึกษา</t>
  </si>
  <si>
    <t>ค่าใช้จ่ายในการประชุม</t>
  </si>
  <si>
    <t>เงินประจำตำแหน่งพิเศษและเงินเพิ่ม</t>
  </si>
  <si>
    <t>เงินสมทบกองทุนประกันสังคม</t>
  </si>
  <si>
    <t>ค่าใช้จ่ายอบรมในประเทศ</t>
  </si>
  <si>
    <t>ค่าเบี้ยเลี้ยง</t>
  </si>
  <si>
    <t>ค่าที่พัก</t>
  </si>
  <si>
    <t>ค่าใช้จ่ายเดินทางในประเทศ</t>
  </si>
  <si>
    <t>ค่าใช้จ่ายเดินทางต่างประเทศ</t>
  </si>
  <si>
    <t>ค่าวัสดุ</t>
  </si>
  <si>
    <t>ค่าซ่อมแซมและบำรุงรักษา</t>
  </si>
  <si>
    <t>ค่าจ้างเหมาบริการ - บุคคลภายนอก</t>
  </si>
  <si>
    <t>ค่าจ้างเหมาบริการ - หน่วยงานรัฐ</t>
  </si>
  <si>
    <t>ค่าเบี้ยประกันภัย</t>
  </si>
  <si>
    <t>ค่าใช้สอยอื่น</t>
  </si>
  <si>
    <t>ค่าเชื้อเพลิง</t>
  </si>
  <si>
    <t>ครุภัณฑ์ต่ำกว่าเกณฑ์</t>
  </si>
  <si>
    <t>ไฟฟ้า</t>
  </si>
  <si>
    <t>ประปา</t>
  </si>
  <si>
    <t>โทรศัพท์</t>
  </si>
  <si>
    <t>Internet</t>
  </si>
  <si>
    <t>ไปรษณีย์</t>
  </si>
  <si>
    <t>ค่าใช้จ่ายทุนการศึกษาในประเทศ</t>
  </si>
  <si>
    <t>รวมค่าใช้จ่าย</t>
  </si>
  <si>
    <t>คชจ.ทางอ้อม (สนับสนุน)</t>
  </si>
  <si>
    <t>พื้นที่</t>
  </si>
  <si>
    <t>ค่าเช่าบ้าน</t>
  </si>
  <si>
    <t>ค่าตอบแทนเฉพาะงาน</t>
  </si>
  <si>
    <t>(ค่าควบคุมงาน + ร่าง TOR + ตรวจการจ้าง + ประเมินผลงาน)</t>
  </si>
  <si>
    <t>ค่าประชาสัมพันธ์ (ค่าลงโฆษณา)</t>
  </si>
  <si>
    <t>คชจ.อุดหนุน หน่วยงานภาครัฐ (ศึกษาทางไกล)</t>
  </si>
  <si>
    <t>คชจ.อุดหนุนเพื่อดำเนินงานอื่น (ทุนพระเทพ)</t>
  </si>
  <si>
    <t>เงินบำเหน็จอาจารย์ต่างประเทศ</t>
  </si>
  <si>
    <t>ค่าเสื่อมราคาประจำปี</t>
  </si>
  <si>
    <t>รวมค่าใช้จ่ายส่วนกลางทุกหน่วยงาน</t>
  </si>
  <si>
    <t>เกณฑ์การปันส่วน</t>
  </si>
  <si>
    <t>"</t>
  </si>
  <si>
    <t>คณะ</t>
  </si>
  <si>
    <t>ศิลปศาสตร์</t>
  </si>
  <si>
    <t>วิทยาลัยเพาะช่าง</t>
  </si>
  <si>
    <t>อุตสาหกรรมการโรงแรม</t>
  </si>
  <si>
    <t>อุตสาหกรรมและเทคโน</t>
  </si>
  <si>
    <t>บริหารธุรกิจ</t>
  </si>
  <si>
    <t>วิศวกรรมศาสตร์</t>
  </si>
  <si>
    <t>สถาปัตยกรรมศาสตร์</t>
  </si>
  <si>
    <t>วิทยาลัยพลังงาน</t>
  </si>
  <si>
    <t>วิทยาลัยนวัตกรรม</t>
  </si>
  <si>
    <t xml:space="preserve">ปันส่วนเข้าสู่คณะต่าง ๆ </t>
  </si>
  <si>
    <t>ศาลายา</t>
  </si>
  <si>
    <t>จักรวรรดิ</t>
  </si>
  <si>
    <t>เพาะช่าง</t>
  </si>
  <si>
    <t>วังไกล</t>
  </si>
  <si>
    <t>จำนวนบุคลากร +นศ. ทุกคณะ</t>
  </si>
  <si>
    <t>หมายเหตุ เกณฑ์การปันส่วน</t>
  </si>
  <si>
    <t>จำนวนบุคลากร +นศ. ทุกคณะ     =</t>
  </si>
  <si>
    <t>พื้นที่                                         =</t>
  </si>
  <si>
    <t>จำนวนเงินรวม *จำนวนพื้นที่ของแต่ละคณะ หารด้วย จำนวนพื้นที่รวมทั้งมหาวิทยาลัย</t>
  </si>
  <si>
    <t>จำนวนเงินรวม * (จำนวนอาจารย์คณะ + เจ้าหน้าที่คณะ + นักศึกษาคณะ หารด้วย จำนวนบุคลากรและนักศึกษาทั้งมหาวิทยาลัย)</t>
  </si>
  <si>
    <t>คณะวิทยาศาสตร์และเทคโนโลยี</t>
  </si>
  <si>
    <t>ค่าจ้างชั่วคราว</t>
  </si>
  <si>
    <t>ค่าเช่าทรัพย์สิน (ที่ดิน +เครื่องถ่ายเอกสาร)</t>
  </si>
  <si>
    <t>ค่าใช้จ่ายฝึกอบรม-ภายนอก</t>
  </si>
  <si>
    <t>ค่าเบี้ยประกันสุขภาพ</t>
  </si>
  <si>
    <t>เงินอุดหนุนวิจัยและพัฒนาหน่วยงานภาครัฐ</t>
  </si>
  <si>
    <t>เงินอุดหนุนทุนการศึกษา</t>
  </si>
  <si>
    <t>เงินอุดหนุนเงินเดือนและค่าจ้างอื่น</t>
  </si>
  <si>
    <t>เงินสนับสนุนให้กองทุน</t>
  </si>
  <si>
    <t xml:space="preserve">เงินอุดหนุนทุน วิจัย และเงินเดือน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</si>
</sst>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43" fontId="3" fillId="0" borderId="4" xfId="1" applyFont="1" applyFill="1" applyBorder="1" applyAlignment="1">
      <alignment horizontal="left"/>
    </xf>
    <xf numFmtId="43" fontId="3" fillId="0" borderId="4" xfId="1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43" fontId="3" fillId="0" borderId="5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3" fontId="3" fillId="0" borderId="6" xfId="1" applyFont="1" applyFill="1" applyBorder="1" applyAlignment="1">
      <alignment horizontal="center"/>
    </xf>
    <xf numFmtId="43" fontId="3" fillId="0" borderId="10" xfId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43" fontId="2" fillId="0" borderId="9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1" applyFont="1" applyFill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43" fontId="7" fillId="0" borderId="5" xfId="1" applyFont="1" applyFill="1" applyBorder="1" applyAlignment="1">
      <alignment horizontal="center"/>
    </xf>
    <xf numFmtId="43" fontId="7" fillId="0" borderId="5" xfId="1" applyFont="1" applyFill="1" applyBorder="1" applyAlignment="1">
      <alignment horizontal="left"/>
    </xf>
    <xf numFmtId="43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3" fontId="7" fillId="0" borderId="6" xfId="1" applyFont="1" applyFill="1" applyBorder="1" applyAlignment="1">
      <alignment horizontal="center"/>
    </xf>
    <xf numFmtId="43" fontId="3" fillId="0" borderId="18" xfId="1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3" fontId="3" fillId="0" borderId="18" xfId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AH115"/>
  <sheetViews>
    <sheetView showGridLines="0" tabSelected="1" zoomScale="75" zoomScaleNormal="75" workbookViewId="0">
      <pane xSplit="6" ySplit="6" topLeftCell="G55" activePane="bottomRight" state="frozen"/>
      <selection pane="topRight" activeCell="G1" sqref="G1"/>
      <selection pane="bottomLeft" activeCell="A7" sqref="A7"/>
      <selection pane="bottomRight" activeCell="J55" sqref="J55"/>
    </sheetView>
  </sheetViews>
  <sheetFormatPr defaultRowHeight="24" x14ac:dyDescent="0.55000000000000004"/>
  <cols>
    <col min="1" max="1" width="5.5" style="21" customWidth="1"/>
    <col min="2" max="2" width="40.375" style="22" bestFit="1" customWidth="1"/>
    <col min="3" max="3" width="27.625" style="22" customWidth="1"/>
    <col min="4" max="4" width="16" style="23" customWidth="1"/>
    <col min="5" max="5" width="14.75" style="23" customWidth="1"/>
    <col min="6" max="6" width="16" style="23" bestFit="1" customWidth="1"/>
    <col min="7" max="7" width="15.625" style="1" bestFit="1" customWidth="1"/>
    <col min="8" max="10" width="14.75" style="1" customWidth="1"/>
    <col min="11" max="11" width="15.625" style="1" customWidth="1"/>
    <col min="12" max="15" width="14.75" style="1" customWidth="1"/>
    <col min="16" max="16" width="15.5" style="1" bestFit="1" customWidth="1"/>
    <col min="17" max="17" width="16.875" style="1" customWidth="1"/>
    <col min="18" max="23" width="16" style="1" customWidth="1"/>
    <col min="24" max="24" width="15.75" style="1" customWidth="1"/>
    <col min="25" max="26" width="15.875" style="1" customWidth="1"/>
    <col min="27" max="31" width="15.125" style="1" customWidth="1"/>
    <col min="32" max="32" width="14.25" style="1" customWidth="1"/>
    <col min="33" max="33" width="16" style="1" hidden="1" customWidth="1"/>
    <col min="34" max="34" width="15.25" style="1" hidden="1" customWidth="1"/>
    <col min="35" max="36" width="9" style="1" customWidth="1"/>
    <col min="37" max="16384" width="9" style="1"/>
  </cols>
  <sheetData>
    <row r="1" spans="1:34" x14ac:dyDescent="0.55000000000000004">
      <c r="A1" s="51" t="s">
        <v>46</v>
      </c>
      <c r="B1" s="52"/>
      <c r="C1" s="52"/>
      <c r="D1" s="52"/>
      <c r="E1" s="52"/>
      <c r="F1" s="53"/>
      <c r="G1" s="57" t="s">
        <v>59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9"/>
    </row>
    <row r="2" spans="1:34" x14ac:dyDescent="0.55000000000000004">
      <c r="A2" s="54"/>
      <c r="B2" s="55"/>
      <c r="C2" s="55"/>
      <c r="D2" s="55"/>
      <c r="E2" s="55"/>
      <c r="F2" s="56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2"/>
    </row>
    <row r="3" spans="1:34" s="2" customFormat="1" x14ac:dyDescent="0.55000000000000004">
      <c r="A3" s="49" t="s">
        <v>0</v>
      </c>
      <c r="B3" s="49" t="s">
        <v>1</v>
      </c>
      <c r="C3" s="49" t="s">
        <v>47</v>
      </c>
      <c r="D3" s="64" t="s">
        <v>36</v>
      </c>
      <c r="E3" s="64"/>
      <c r="F3" s="64"/>
      <c r="G3" s="65" t="s">
        <v>49</v>
      </c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34" s="3" customFormat="1" x14ac:dyDescent="0.55000000000000004">
      <c r="A4" s="63"/>
      <c r="B4" s="63"/>
      <c r="C4" s="63"/>
      <c r="D4" s="66" t="s">
        <v>2</v>
      </c>
      <c r="E4" s="66" t="s">
        <v>3</v>
      </c>
      <c r="F4" s="66" t="s">
        <v>4</v>
      </c>
      <c r="G4" s="45" t="s">
        <v>54</v>
      </c>
      <c r="H4" s="45"/>
      <c r="I4" s="45"/>
      <c r="J4" s="45"/>
      <c r="K4" s="45"/>
      <c r="L4" s="46" t="s">
        <v>55</v>
      </c>
      <c r="M4" s="47"/>
      <c r="N4" s="47"/>
      <c r="O4" s="47"/>
      <c r="P4" s="48"/>
      <c r="Q4" s="49" t="s">
        <v>56</v>
      </c>
      <c r="R4" s="46" t="s">
        <v>50</v>
      </c>
      <c r="S4" s="47"/>
      <c r="T4" s="47"/>
      <c r="U4" s="47"/>
      <c r="V4" s="48"/>
      <c r="W4" s="49" t="s">
        <v>51</v>
      </c>
      <c r="X4" s="49" t="s">
        <v>52</v>
      </c>
      <c r="Y4" s="49" t="s">
        <v>53</v>
      </c>
      <c r="Z4" s="49" t="s">
        <v>70</v>
      </c>
      <c r="AA4" s="46" t="s">
        <v>58</v>
      </c>
      <c r="AB4" s="47"/>
      <c r="AC4" s="47"/>
      <c r="AD4" s="47"/>
      <c r="AE4" s="48"/>
      <c r="AF4" s="49" t="s">
        <v>57</v>
      </c>
    </row>
    <row r="5" spans="1:34" s="3" customFormat="1" ht="36.75" customHeight="1" x14ac:dyDescent="0.55000000000000004">
      <c r="A5" s="50"/>
      <c r="B5" s="50"/>
      <c r="C5" s="50"/>
      <c r="D5" s="67"/>
      <c r="E5" s="67"/>
      <c r="F5" s="67"/>
      <c r="G5" s="40" t="s">
        <v>60</v>
      </c>
      <c r="H5" s="40" t="s">
        <v>61</v>
      </c>
      <c r="I5" s="40" t="s">
        <v>62</v>
      </c>
      <c r="J5" s="40" t="s">
        <v>63</v>
      </c>
      <c r="K5" s="40" t="s">
        <v>4</v>
      </c>
      <c r="L5" s="40" t="s">
        <v>60</v>
      </c>
      <c r="M5" s="40" t="s">
        <v>61</v>
      </c>
      <c r="N5" s="40" t="s">
        <v>62</v>
      </c>
      <c r="O5" s="40" t="s">
        <v>63</v>
      </c>
      <c r="P5" s="40" t="s">
        <v>4</v>
      </c>
      <c r="Q5" s="50"/>
      <c r="R5" s="40" t="s">
        <v>60</v>
      </c>
      <c r="S5" s="40" t="s">
        <v>61</v>
      </c>
      <c r="T5" s="40" t="s">
        <v>62</v>
      </c>
      <c r="U5" s="40" t="s">
        <v>63</v>
      </c>
      <c r="V5" s="40" t="s">
        <v>4</v>
      </c>
      <c r="W5" s="50"/>
      <c r="X5" s="50"/>
      <c r="Y5" s="50"/>
      <c r="Z5" s="50"/>
      <c r="AA5" s="40" t="s">
        <v>60</v>
      </c>
      <c r="AB5" s="40" t="s">
        <v>61</v>
      </c>
      <c r="AC5" s="40" t="s">
        <v>62</v>
      </c>
      <c r="AD5" s="40" t="s">
        <v>63</v>
      </c>
      <c r="AE5" s="40" t="s">
        <v>4</v>
      </c>
      <c r="AF5" s="50"/>
    </row>
    <row r="6" spans="1:34" x14ac:dyDescent="0.55000000000000004">
      <c r="A6" s="4">
        <v>1</v>
      </c>
      <c r="B6" s="5" t="s">
        <v>5</v>
      </c>
      <c r="C6" s="5" t="s">
        <v>64</v>
      </c>
      <c r="D6" s="6">
        <f>48319647.22+377221.94</f>
        <v>48696869.159999996</v>
      </c>
      <c r="E6" s="6">
        <v>52095666.719999999</v>
      </c>
      <c r="F6" s="7">
        <f>+D6+E6</f>
        <v>100792535.88</v>
      </c>
      <c r="G6" s="6">
        <f>$F6*1849.5/12557.5</f>
        <v>14844976.715911606</v>
      </c>
      <c r="H6" s="6">
        <f>$F6*1559.5/12557.5</f>
        <v>12517297.209226357</v>
      </c>
      <c r="I6" s="6">
        <f>$F6*0/12557.5</f>
        <v>0</v>
      </c>
      <c r="J6" s="6">
        <f>$F6*1339.5/12557.5</f>
        <v>10751471.376568584</v>
      </c>
      <c r="K6" s="6">
        <f>SUM(G6:J6)</f>
        <v>38113745.301706545</v>
      </c>
      <c r="L6" s="6">
        <f>$F6*1784/12557.5</f>
        <v>14319242.206643041</v>
      </c>
      <c r="M6" s="6">
        <f>$F6*0/12557.5</f>
        <v>0</v>
      </c>
      <c r="N6" s="6">
        <f>$F6*0/12557.5</f>
        <v>0</v>
      </c>
      <c r="O6" s="6">
        <f>$F6*248/12557.5</f>
        <v>1990567.3022687635</v>
      </c>
      <c r="P6" s="6">
        <f>SUM(L6:O6)</f>
        <v>16309809.508911805</v>
      </c>
      <c r="Q6" s="6">
        <f>$F6*1292.5/12557.5</f>
        <v>10374226.766864423</v>
      </c>
      <c r="R6" s="6">
        <f>$F6*43/12557.5</f>
        <v>345138.6854740195</v>
      </c>
      <c r="S6" s="6">
        <f>$F6*603/12557.5</f>
        <v>4839968.0776938088</v>
      </c>
      <c r="T6" s="6">
        <f>$F6*16/12557.5</f>
        <v>128423.69692056539</v>
      </c>
      <c r="U6" s="6">
        <f>$F6*33/12557.5</f>
        <v>264873.87489866611</v>
      </c>
      <c r="V6" s="6">
        <f>SUM(R6:U6)</f>
        <v>5578404.3349870602</v>
      </c>
      <c r="W6" s="6">
        <f>$F6*1662/12557.5</f>
        <v>13340011.51762373</v>
      </c>
      <c r="X6" s="6">
        <f>$F6*489/12557.5</f>
        <v>3924949.2371347798</v>
      </c>
      <c r="Y6" s="6">
        <f>$F6*830.5/12557.5</f>
        <v>6665992.5182830971</v>
      </c>
      <c r="Z6" s="6">
        <f>$F6*24/12557.5</f>
        <v>192635.54538084808</v>
      </c>
      <c r="AA6" s="6">
        <f>$F6*205/12557.5</f>
        <v>1645428.616794744</v>
      </c>
      <c r="AB6" s="6">
        <f>$F6*0/12557.5</f>
        <v>0</v>
      </c>
      <c r="AC6" s="6">
        <f>$F6*0/12557.5</f>
        <v>0</v>
      </c>
      <c r="AD6" s="6">
        <f>$F6*118/12557.5</f>
        <v>947124.76478916989</v>
      </c>
      <c r="AE6" s="6">
        <f>SUM(AA6:AD6)</f>
        <v>2592553.3815839142</v>
      </c>
      <c r="AF6" s="6">
        <f>$F6*61.5/12557.5</f>
        <v>493628.58503842325</v>
      </c>
      <c r="AG6" s="8">
        <f>+K6+P6+Q6+V6+W6+X6+Y6+AE6+AF6+Z6</f>
        <v>97585956.697514623</v>
      </c>
      <c r="AH6" s="8">
        <f>+F6-AG6</f>
        <v>3206579.1824853718</v>
      </c>
    </row>
    <row r="7" spans="1:34" x14ac:dyDescent="0.55000000000000004">
      <c r="A7" s="41">
        <v>2</v>
      </c>
      <c r="B7" s="34" t="s">
        <v>71</v>
      </c>
      <c r="C7" s="9" t="s">
        <v>48</v>
      </c>
      <c r="D7" s="33">
        <v>7803960</v>
      </c>
      <c r="E7" s="33">
        <v>18855087.219999999</v>
      </c>
      <c r="F7" s="42">
        <f t="shared" ref="F7:F52" si="0">+D7+E7</f>
        <v>26659047.219999999</v>
      </c>
      <c r="G7" s="33">
        <f t="shared" ref="G7:G27" si="1">$F7*1849.5/12557.5</f>
        <v>3926411.1354481387</v>
      </c>
      <c r="H7" s="33">
        <f t="shared" ref="H7:H27" si="2">$F7*1559.5/12557.5</f>
        <v>3310753.266142942</v>
      </c>
      <c r="I7" s="33">
        <f t="shared" ref="I7:I27" si="3">$F7*0/12557.5</f>
        <v>0</v>
      </c>
      <c r="J7" s="33">
        <f t="shared" ref="J7:J27" si="4">$F7*1339.5/12557.5</f>
        <v>2843702.4687390001</v>
      </c>
      <c r="K7" s="33">
        <f t="shared" ref="K7:K27" si="5">SUM(G7:J7)</f>
        <v>10080866.87033008</v>
      </c>
      <c r="L7" s="33">
        <f t="shared" ref="L7:L27" si="6">$F7*1784/12557.5</f>
        <v>3787357.3753119647</v>
      </c>
      <c r="M7" s="33">
        <f t="shared" ref="M7:N27" si="7">$F7*0/12557.5</f>
        <v>0</v>
      </c>
      <c r="N7" s="33">
        <f t="shared" si="7"/>
        <v>0</v>
      </c>
      <c r="O7" s="33">
        <f t="shared" ref="O7:O27" si="8">$F7*248/12557.5</f>
        <v>526493.62616444356</v>
      </c>
      <c r="P7" s="33">
        <f t="shared" ref="P7:P27" si="9">SUM(L7:O7)</f>
        <v>4313851.001476408</v>
      </c>
      <c r="Q7" s="33">
        <f t="shared" ref="Q7:Q27" si="10">$F7*1292.5/12557.5</f>
        <v>2743923.4347481583</v>
      </c>
      <c r="R7" s="33">
        <f t="shared" ref="R7:R27" si="11">$F7*43/12557.5</f>
        <v>91287.201310770455</v>
      </c>
      <c r="S7" s="33">
        <f t="shared" ref="S7:S27" si="12">$F7*603/12557.5</f>
        <v>1280143.7765208043</v>
      </c>
      <c r="T7" s="33">
        <f t="shared" ref="T7:T27" si="13">$F7*16/12557.5</f>
        <v>33967.330720286678</v>
      </c>
      <c r="U7" s="33">
        <f t="shared" ref="U7:U27" si="14">$F7*33/12557.5</f>
        <v>70057.619610591282</v>
      </c>
      <c r="V7" s="33">
        <f t="shared" ref="V7:V27" si="15">SUM(R7:U7)</f>
        <v>1475455.9281624525</v>
      </c>
      <c r="W7" s="33">
        <f t="shared" ref="W7:W27" si="16">$F7*1662/12557.5</f>
        <v>3528356.4785697791</v>
      </c>
      <c r="X7" s="33">
        <f t="shared" ref="X7:X27" si="17">$F7*489/12557.5</f>
        <v>1038126.5451387616</v>
      </c>
      <c r="Y7" s="33">
        <f t="shared" ref="Y7:Y27" si="18">$F7*830.5/12557.5</f>
        <v>1763116.7601998805</v>
      </c>
      <c r="Z7" s="33">
        <f t="shared" ref="Z7:Z27" si="19">$F7*24/12557.5</f>
        <v>50950.996080430021</v>
      </c>
      <c r="AA7" s="33">
        <f t="shared" ref="AA7:AA27" si="20">$F7*205/12557.5</f>
        <v>435206.42485367303</v>
      </c>
      <c r="AB7" s="33">
        <f t="shared" ref="AB7:AC27" si="21">$F7*0/12557.5</f>
        <v>0</v>
      </c>
      <c r="AC7" s="33">
        <f t="shared" si="21"/>
        <v>0</v>
      </c>
      <c r="AD7" s="33">
        <f t="shared" ref="AD7:AD27" si="22">$F7*118/12557.5</f>
        <v>250509.06406211428</v>
      </c>
      <c r="AE7" s="33">
        <f t="shared" ref="AE7:AE27" si="23">SUM(AA7:AD7)</f>
        <v>685715.48891578731</v>
      </c>
      <c r="AF7" s="33">
        <f t="shared" ref="AF7:AF27" si="24">$F7*61.5/12557.5</f>
        <v>130561.92745610193</v>
      </c>
      <c r="AG7" s="8"/>
      <c r="AH7" s="8"/>
    </row>
    <row r="8" spans="1:34" x14ac:dyDescent="0.55000000000000004">
      <c r="A8" s="9">
        <v>3</v>
      </c>
      <c r="B8" s="10" t="s">
        <v>6</v>
      </c>
      <c r="C8" s="9" t="s">
        <v>48</v>
      </c>
      <c r="D8" s="11">
        <v>749802.59</v>
      </c>
      <c r="E8" s="11">
        <v>3951124.26</v>
      </c>
      <c r="F8" s="11">
        <f t="shared" si="0"/>
        <v>4700926.8499999996</v>
      </c>
      <c r="G8" s="33">
        <f t="shared" si="1"/>
        <v>692364.26112482569</v>
      </c>
      <c r="H8" s="33">
        <f t="shared" si="2"/>
        <v>583802.14394385822</v>
      </c>
      <c r="I8" s="33">
        <f t="shared" si="3"/>
        <v>0</v>
      </c>
      <c r="J8" s="33">
        <f t="shared" si="4"/>
        <v>501444.675737607</v>
      </c>
      <c r="K8" s="33">
        <f t="shared" si="5"/>
        <v>1777611.080806291</v>
      </c>
      <c r="L8" s="12">
        <f t="shared" si="6"/>
        <v>667844.19672705547</v>
      </c>
      <c r="M8" s="12">
        <f t="shared" si="7"/>
        <v>0</v>
      </c>
      <c r="N8" s="12">
        <f t="shared" si="7"/>
        <v>0</v>
      </c>
      <c r="O8" s="12">
        <f t="shared" si="8"/>
        <v>92839.327796137761</v>
      </c>
      <c r="P8" s="12">
        <f t="shared" si="9"/>
        <v>760683.52452319325</v>
      </c>
      <c r="Q8" s="12">
        <f t="shared" si="10"/>
        <v>483850.12571172597</v>
      </c>
      <c r="R8" s="12">
        <f t="shared" si="11"/>
        <v>16097.141513040015</v>
      </c>
      <c r="S8" s="12">
        <f t="shared" si="12"/>
        <v>225734.33331077042</v>
      </c>
      <c r="T8" s="12">
        <f t="shared" si="13"/>
        <v>5989.634051363726</v>
      </c>
      <c r="U8" s="12">
        <f t="shared" si="14"/>
        <v>12353.620230937686</v>
      </c>
      <c r="V8" s="12">
        <f t="shared" si="15"/>
        <v>260174.72910611189</v>
      </c>
      <c r="W8" s="12">
        <f t="shared" si="16"/>
        <v>622173.23708540713</v>
      </c>
      <c r="X8" s="12">
        <f t="shared" si="17"/>
        <v>183058.19069480387</v>
      </c>
      <c r="Y8" s="12">
        <f t="shared" si="18"/>
        <v>310899.44247859844</v>
      </c>
      <c r="Z8" s="12">
        <f t="shared" si="19"/>
        <v>8984.451077045589</v>
      </c>
      <c r="AA8" s="12">
        <f t="shared" si="20"/>
        <v>76742.186283097748</v>
      </c>
      <c r="AB8" s="12">
        <f t="shared" si="21"/>
        <v>0</v>
      </c>
      <c r="AC8" s="12">
        <f t="shared" si="21"/>
        <v>0</v>
      </c>
      <c r="AD8" s="12">
        <f t="shared" si="22"/>
        <v>44173.551128807485</v>
      </c>
      <c r="AE8" s="12">
        <f t="shared" si="23"/>
        <v>120915.73741190523</v>
      </c>
      <c r="AF8" s="12">
        <f t="shared" si="24"/>
        <v>23022.655884929321</v>
      </c>
      <c r="AG8" s="8">
        <f t="shared" ref="AG8:AG27" si="25">+K8+P8+Q8+V8+W8+X8+Y8+AE8+AF8+Z8</f>
        <v>4551373.1747800112</v>
      </c>
      <c r="AH8" s="8">
        <f t="shared" ref="AH8:AH27" si="26">+F8-AG8</f>
        <v>149553.67521998845</v>
      </c>
    </row>
    <row r="9" spans="1:34" x14ac:dyDescent="0.55000000000000004">
      <c r="A9" s="9">
        <v>4</v>
      </c>
      <c r="B9" s="10" t="s">
        <v>7</v>
      </c>
      <c r="C9" s="9" t="s">
        <v>48</v>
      </c>
      <c r="D9" s="11">
        <v>2528813.94</v>
      </c>
      <c r="E9" s="11">
        <v>1698700</v>
      </c>
      <c r="F9" s="11">
        <f t="shared" si="0"/>
        <v>4227513.9399999995</v>
      </c>
      <c r="G9" s="12">
        <f t="shared" si="1"/>
        <v>622638.8239721281</v>
      </c>
      <c r="H9" s="12">
        <f t="shared" si="2"/>
        <v>525009.59501732024</v>
      </c>
      <c r="I9" s="12">
        <f t="shared" si="3"/>
        <v>0</v>
      </c>
      <c r="J9" s="12">
        <f t="shared" si="4"/>
        <v>450946.04201712116</v>
      </c>
      <c r="K9" s="12">
        <f t="shared" si="5"/>
        <v>1598594.4610065694</v>
      </c>
      <c r="L9" s="12">
        <f t="shared" si="6"/>
        <v>600588.08432888705</v>
      </c>
      <c r="M9" s="12">
        <f t="shared" si="7"/>
        <v>0</v>
      </c>
      <c r="N9" s="12">
        <f t="shared" si="7"/>
        <v>0</v>
      </c>
      <c r="O9" s="12">
        <f t="shared" si="8"/>
        <v>83489.823382042596</v>
      </c>
      <c r="P9" s="12">
        <f t="shared" si="9"/>
        <v>684077.90771092963</v>
      </c>
      <c r="Q9" s="12">
        <f t="shared" si="10"/>
        <v>435123.37387616956</v>
      </c>
      <c r="R9" s="12">
        <f t="shared" si="11"/>
        <v>14476.058086402547</v>
      </c>
      <c r="S9" s="12">
        <f t="shared" si="12"/>
        <v>203001.46572327291</v>
      </c>
      <c r="T9" s="12">
        <f t="shared" si="13"/>
        <v>5386.440218196296</v>
      </c>
      <c r="U9" s="12">
        <f t="shared" si="14"/>
        <v>11109.532950029861</v>
      </c>
      <c r="V9" s="12">
        <f t="shared" si="15"/>
        <v>233973.49697790161</v>
      </c>
      <c r="W9" s="12">
        <f t="shared" si="16"/>
        <v>559516.47766514029</v>
      </c>
      <c r="X9" s="12">
        <f t="shared" si="17"/>
        <v>164623.0791686243</v>
      </c>
      <c r="Y9" s="12">
        <f t="shared" si="18"/>
        <v>279589.91257575148</v>
      </c>
      <c r="Z9" s="12">
        <f t="shared" si="19"/>
        <v>8079.6603272944449</v>
      </c>
      <c r="AA9" s="12">
        <f t="shared" si="20"/>
        <v>69013.765295640056</v>
      </c>
      <c r="AB9" s="12">
        <f t="shared" si="21"/>
        <v>0</v>
      </c>
      <c r="AC9" s="12">
        <f t="shared" si="21"/>
        <v>0</v>
      </c>
      <c r="AD9" s="12">
        <f t="shared" si="22"/>
        <v>39724.996609197689</v>
      </c>
      <c r="AE9" s="12">
        <f t="shared" si="23"/>
        <v>108738.76190483774</v>
      </c>
      <c r="AF9" s="12">
        <f t="shared" si="24"/>
        <v>20704.129588692016</v>
      </c>
      <c r="AG9" s="8">
        <f t="shared" si="25"/>
        <v>4093021.26080191</v>
      </c>
      <c r="AH9" s="8">
        <f t="shared" si="26"/>
        <v>134492.67919808952</v>
      </c>
    </row>
    <row r="10" spans="1:34" x14ac:dyDescent="0.55000000000000004">
      <c r="A10" s="9">
        <v>56</v>
      </c>
      <c r="B10" s="10" t="s">
        <v>8</v>
      </c>
      <c r="C10" s="9" t="s">
        <v>48</v>
      </c>
      <c r="D10" s="11"/>
      <c r="E10" s="11"/>
      <c r="F10" s="11">
        <f t="shared" si="0"/>
        <v>0</v>
      </c>
      <c r="G10" s="12">
        <f t="shared" si="1"/>
        <v>0</v>
      </c>
      <c r="H10" s="12">
        <f t="shared" si="2"/>
        <v>0</v>
      </c>
      <c r="I10" s="12">
        <f t="shared" si="3"/>
        <v>0</v>
      </c>
      <c r="J10" s="12">
        <f t="shared" si="4"/>
        <v>0</v>
      </c>
      <c r="K10" s="12">
        <f t="shared" si="5"/>
        <v>0</v>
      </c>
      <c r="L10" s="12">
        <f t="shared" si="6"/>
        <v>0</v>
      </c>
      <c r="M10" s="12">
        <f t="shared" si="7"/>
        <v>0</v>
      </c>
      <c r="N10" s="12">
        <f t="shared" si="7"/>
        <v>0</v>
      </c>
      <c r="O10" s="12">
        <f t="shared" si="8"/>
        <v>0</v>
      </c>
      <c r="P10" s="12">
        <f t="shared" si="9"/>
        <v>0</v>
      </c>
      <c r="Q10" s="12">
        <f t="shared" si="10"/>
        <v>0</v>
      </c>
      <c r="R10" s="12">
        <f t="shared" si="11"/>
        <v>0</v>
      </c>
      <c r="S10" s="12">
        <f t="shared" si="12"/>
        <v>0</v>
      </c>
      <c r="T10" s="12">
        <f t="shared" si="13"/>
        <v>0</v>
      </c>
      <c r="U10" s="12">
        <f t="shared" si="14"/>
        <v>0</v>
      </c>
      <c r="V10" s="12">
        <f t="shared" si="15"/>
        <v>0</v>
      </c>
      <c r="W10" s="12">
        <f t="shared" si="16"/>
        <v>0</v>
      </c>
      <c r="X10" s="12">
        <f t="shared" si="17"/>
        <v>0</v>
      </c>
      <c r="Y10" s="12">
        <f t="shared" si="18"/>
        <v>0</v>
      </c>
      <c r="Z10" s="12">
        <f t="shared" si="19"/>
        <v>0</v>
      </c>
      <c r="AA10" s="12">
        <f t="shared" si="20"/>
        <v>0</v>
      </c>
      <c r="AB10" s="12">
        <f t="shared" si="21"/>
        <v>0</v>
      </c>
      <c r="AC10" s="12">
        <f t="shared" si="21"/>
        <v>0</v>
      </c>
      <c r="AD10" s="12">
        <f t="shared" si="22"/>
        <v>0</v>
      </c>
      <c r="AE10" s="12">
        <f t="shared" si="23"/>
        <v>0</v>
      </c>
      <c r="AF10" s="12">
        <f t="shared" si="24"/>
        <v>0</v>
      </c>
      <c r="AG10" s="8">
        <f t="shared" si="25"/>
        <v>0</v>
      </c>
      <c r="AH10" s="8">
        <f t="shared" si="26"/>
        <v>0</v>
      </c>
    </row>
    <row r="11" spans="1:34" x14ac:dyDescent="0.55000000000000004">
      <c r="A11" s="9">
        <v>7</v>
      </c>
      <c r="B11" s="10" t="s">
        <v>9</v>
      </c>
      <c r="C11" s="9" t="s">
        <v>48</v>
      </c>
      <c r="D11" s="11">
        <v>10095793.5</v>
      </c>
      <c r="E11" s="11"/>
      <c r="F11" s="11">
        <f t="shared" si="0"/>
        <v>10095793.5</v>
      </c>
      <c r="G11" s="12">
        <f t="shared" si="1"/>
        <v>1486933.7111885326</v>
      </c>
      <c r="H11" s="12">
        <f t="shared" si="2"/>
        <v>1253783.7916185546</v>
      </c>
      <c r="I11" s="12">
        <f t="shared" si="3"/>
        <v>0</v>
      </c>
      <c r="J11" s="12">
        <f t="shared" si="4"/>
        <v>1076911.4388413299</v>
      </c>
      <c r="K11" s="12">
        <f t="shared" si="5"/>
        <v>3817628.9416484172</v>
      </c>
      <c r="L11" s="12">
        <f t="shared" si="6"/>
        <v>1434273.9879753136</v>
      </c>
      <c r="M11" s="12">
        <f t="shared" si="7"/>
        <v>0</v>
      </c>
      <c r="N11" s="12">
        <f t="shared" si="7"/>
        <v>0</v>
      </c>
      <c r="O11" s="12">
        <f t="shared" si="8"/>
        <v>199383.3794943261</v>
      </c>
      <c r="P11" s="12">
        <f t="shared" si="9"/>
        <v>1633657.3674696398</v>
      </c>
      <c r="Q11" s="12">
        <f t="shared" si="10"/>
        <v>1039125.0725661955</v>
      </c>
      <c r="R11" s="12">
        <f t="shared" si="11"/>
        <v>34570.505315548478</v>
      </c>
      <c r="S11" s="12">
        <f t="shared" si="12"/>
        <v>484791.03965757514</v>
      </c>
      <c r="T11" s="12">
        <f t="shared" si="13"/>
        <v>12863.443838343619</v>
      </c>
      <c r="U11" s="12">
        <f t="shared" si="14"/>
        <v>26530.852916583714</v>
      </c>
      <c r="V11" s="12">
        <f t="shared" si="15"/>
        <v>558755.84172805096</v>
      </c>
      <c r="W11" s="12">
        <f t="shared" si="16"/>
        <v>1336190.2287079433</v>
      </c>
      <c r="X11" s="12">
        <f t="shared" si="17"/>
        <v>393139.00230937684</v>
      </c>
      <c r="Y11" s="12">
        <f t="shared" si="18"/>
        <v>667693.13173402345</v>
      </c>
      <c r="Z11" s="12">
        <f t="shared" si="19"/>
        <v>19295.165757515428</v>
      </c>
      <c r="AA11" s="12">
        <f t="shared" si="20"/>
        <v>164812.87417877762</v>
      </c>
      <c r="AB11" s="12">
        <f t="shared" si="21"/>
        <v>0</v>
      </c>
      <c r="AC11" s="12">
        <f t="shared" si="21"/>
        <v>0</v>
      </c>
      <c r="AD11" s="12">
        <f t="shared" si="22"/>
        <v>94867.898307784199</v>
      </c>
      <c r="AE11" s="12">
        <f t="shared" si="23"/>
        <v>259680.77248656182</v>
      </c>
      <c r="AF11" s="12">
        <f t="shared" si="24"/>
        <v>49443.862253633284</v>
      </c>
      <c r="AG11" s="8">
        <f t="shared" si="25"/>
        <v>9774609.3866613545</v>
      </c>
      <c r="AH11" s="8">
        <f t="shared" si="26"/>
        <v>321184.11333864555</v>
      </c>
    </row>
    <row r="12" spans="1:34" x14ac:dyDescent="0.55000000000000004">
      <c r="A12" s="9">
        <v>8</v>
      </c>
      <c r="B12" s="10" t="s">
        <v>10</v>
      </c>
      <c r="C12" s="9" t="s">
        <v>48</v>
      </c>
      <c r="D12" s="11">
        <v>11933</v>
      </c>
      <c r="E12" s="11">
        <v>921698.43</v>
      </c>
      <c r="F12" s="11">
        <f t="shared" si="0"/>
        <v>933631.43</v>
      </c>
      <c r="G12" s="12">
        <f t="shared" si="1"/>
        <v>137507.57155365319</v>
      </c>
      <c r="H12" s="12">
        <f t="shared" si="2"/>
        <v>115946.50329165837</v>
      </c>
      <c r="I12" s="12">
        <f t="shared" si="3"/>
        <v>0</v>
      </c>
      <c r="J12" s="12">
        <f t="shared" si="4"/>
        <v>99589.830817041613</v>
      </c>
      <c r="K12" s="12">
        <f t="shared" si="5"/>
        <v>353043.90566235321</v>
      </c>
      <c r="L12" s="12">
        <f t="shared" si="6"/>
        <v>132637.74406689231</v>
      </c>
      <c r="M12" s="12">
        <f t="shared" si="7"/>
        <v>0</v>
      </c>
      <c r="N12" s="12">
        <f t="shared" si="7"/>
        <v>0</v>
      </c>
      <c r="O12" s="12">
        <f t="shared" si="8"/>
        <v>18438.430789567989</v>
      </c>
      <c r="P12" s="12">
        <f t="shared" si="9"/>
        <v>151076.1748564603</v>
      </c>
      <c r="Q12" s="12">
        <f t="shared" si="10"/>
        <v>96095.450788373491</v>
      </c>
      <c r="R12" s="12">
        <f t="shared" si="11"/>
        <v>3196.9859836750948</v>
      </c>
      <c r="S12" s="12">
        <f t="shared" si="12"/>
        <v>44832.152282699586</v>
      </c>
      <c r="T12" s="12">
        <f t="shared" si="13"/>
        <v>1189.5761799721283</v>
      </c>
      <c r="U12" s="12">
        <f t="shared" si="14"/>
        <v>2453.5008711925148</v>
      </c>
      <c r="V12" s="12">
        <f t="shared" si="15"/>
        <v>51672.215317539318</v>
      </c>
      <c r="W12" s="12">
        <f t="shared" si="16"/>
        <v>123567.22569460483</v>
      </c>
      <c r="X12" s="12">
        <f t="shared" si="17"/>
        <v>36356.422000398168</v>
      </c>
      <c r="Y12" s="12">
        <f t="shared" si="18"/>
        <v>61746.438591678278</v>
      </c>
      <c r="Z12" s="12">
        <f t="shared" si="19"/>
        <v>1784.3642699581924</v>
      </c>
      <c r="AA12" s="12">
        <f t="shared" si="20"/>
        <v>15241.444805892894</v>
      </c>
      <c r="AB12" s="12">
        <f t="shared" si="21"/>
        <v>0</v>
      </c>
      <c r="AC12" s="12">
        <f t="shared" si="21"/>
        <v>0</v>
      </c>
      <c r="AD12" s="12">
        <f t="shared" si="22"/>
        <v>8773.1243272944466</v>
      </c>
      <c r="AE12" s="12">
        <f t="shared" si="23"/>
        <v>24014.569133187339</v>
      </c>
      <c r="AF12" s="12">
        <f t="shared" si="24"/>
        <v>4572.4334417678674</v>
      </c>
      <c r="AG12" s="8">
        <f t="shared" si="25"/>
        <v>903929.19975632092</v>
      </c>
      <c r="AH12" s="8">
        <f t="shared" si="26"/>
        <v>29702.230243679136</v>
      </c>
    </row>
    <row r="13" spans="1:34" x14ac:dyDescent="0.55000000000000004">
      <c r="A13" s="9">
        <v>9</v>
      </c>
      <c r="B13" s="10" t="s">
        <v>38</v>
      </c>
      <c r="C13" s="9" t="s">
        <v>48</v>
      </c>
      <c r="D13" s="11"/>
      <c r="E13" s="11"/>
      <c r="F13" s="11">
        <f t="shared" si="0"/>
        <v>0</v>
      </c>
      <c r="G13" s="12">
        <f t="shared" si="1"/>
        <v>0</v>
      </c>
      <c r="H13" s="12">
        <f t="shared" si="2"/>
        <v>0</v>
      </c>
      <c r="I13" s="12">
        <f t="shared" si="3"/>
        <v>0</v>
      </c>
      <c r="J13" s="12">
        <f t="shared" si="4"/>
        <v>0</v>
      </c>
      <c r="K13" s="12">
        <f t="shared" si="5"/>
        <v>0</v>
      </c>
      <c r="L13" s="12">
        <f t="shared" si="6"/>
        <v>0</v>
      </c>
      <c r="M13" s="12">
        <f t="shared" si="7"/>
        <v>0</v>
      </c>
      <c r="N13" s="12">
        <f t="shared" si="7"/>
        <v>0</v>
      </c>
      <c r="O13" s="12">
        <f t="shared" si="8"/>
        <v>0</v>
      </c>
      <c r="P13" s="12">
        <f t="shared" si="9"/>
        <v>0</v>
      </c>
      <c r="Q13" s="12">
        <f t="shared" si="10"/>
        <v>0</v>
      </c>
      <c r="R13" s="12">
        <f t="shared" si="11"/>
        <v>0</v>
      </c>
      <c r="S13" s="12">
        <f t="shared" si="12"/>
        <v>0</v>
      </c>
      <c r="T13" s="12">
        <f t="shared" si="13"/>
        <v>0</v>
      </c>
      <c r="U13" s="12">
        <f t="shared" si="14"/>
        <v>0</v>
      </c>
      <c r="V13" s="12">
        <f t="shared" si="15"/>
        <v>0</v>
      </c>
      <c r="W13" s="12">
        <f t="shared" si="16"/>
        <v>0</v>
      </c>
      <c r="X13" s="12">
        <f t="shared" si="17"/>
        <v>0</v>
      </c>
      <c r="Y13" s="12">
        <f t="shared" si="18"/>
        <v>0</v>
      </c>
      <c r="Z13" s="12">
        <f t="shared" si="19"/>
        <v>0</v>
      </c>
      <c r="AA13" s="12">
        <f t="shared" si="20"/>
        <v>0</v>
      </c>
      <c r="AB13" s="12">
        <f t="shared" si="21"/>
        <v>0</v>
      </c>
      <c r="AC13" s="12">
        <f t="shared" si="21"/>
        <v>0</v>
      </c>
      <c r="AD13" s="12">
        <f t="shared" si="22"/>
        <v>0</v>
      </c>
      <c r="AE13" s="12">
        <f t="shared" si="23"/>
        <v>0</v>
      </c>
      <c r="AF13" s="12">
        <f t="shared" si="24"/>
        <v>0</v>
      </c>
      <c r="AG13" s="8">
        <f t="shared" si="25"/>
        <v>0</v>
      </c>
      <c r="AH13" s="8">
        <f t="shared" si="26"/>
        <v>0</v>
      </c>
    </row>
    <row r="14" spans="1:34" x14ac:dyDescent="0.55000000000000004">
      <c r="A14" s="9">
        <v>10</v>
      </c>
      <c r="B14" s="10" t="s">
        <v>11</v>
      </c>
      <c r="C14" s="9" t="s">
        <v>48</v>
      </c>
      <c r="D14" s="11">
        <v>1755058.08</v>
      </c>
      <c r="E14" s="11">
        <v>1564640</v>
      </c>
      <c r="F14" s="11">
        <f t="shared" si="0"/>
        <v>3319698.08</v>
      </c>
      <c r="G14" s="12">
        <f t="shared" si="1"/>
        <v>488933.43411984871</v>
      </c>
      <c r="H14" s="12">
        <f t="shared" si="2"/>
        <v>412269.09462552262</v>
      </c>
      <c r="I14" s="12">
        <f t="shared" si="3"/>
        <v>0</v>
      </c>
      <c r="J14" s="12">
        <f t="shared" si="4"/>
        <v>354109.94052637863</v>
      </c>
      <c r="K14" s="12">
        <f t="shared" si="5"/>
        <v>1255312.46927175</v>
      </c>
      <c r="L14" s="12">
        <f t="shared" si="6"/>
        <v>471617.86778578541</v>
      </c>
      <c r="M14" s="12">
        <f t="shared" si="7"/>
        <v>0</v>
      </c>
      <c r="N14" s="12">
        <f t="shared" si="7"/>
        <v>0</v>
      </c>
      <c r="O14" s="12">
        <f t="shared" si="8"/>
        <v>65561.228257216804</v>
      </c>
      <c r="P14" s="12">
        <f t="shared" si="9"/>
        <v>537179.09604300221</v>
      </c>
      <c r="Q14" s="12">
        <f t="shared" si="10"/>
        <v>341685.03033247066</v>
      </c>
      <c r="R14" s="12">
        <f t="shared" si="11"/>
        <v>11367.471028469043</v>
      </c>
      <c r="S14" s="12">
        <f t="shared" si="12"/>
        <v>159408.95418992633</v>
      </c>
      <c r="T14" s="12">
        <f t="shared" si="13"/>
        <v>4229.7566617559232</v>
      </c>
      <c r="U14" s="12">
        <f t="shared" si="14"/>
        <v>8723.8731148715906</v>
      </c>
      <c r="V14" s="12">
        <f t="shared" si="15"/>
        <v>183730.05499502289</v>
      </c>
      <c r="W14" s="12">
        <f t="shared" si="16"/>
        <v>439365.97323989647</v>
      </c>
      <c r="X14" s="12">
        <f t="shared" si="17"/>
        <v>129271.9379749154</v>
      </c>
      <c r="Y14" s="12">
        <f t="shared" si="18"/>
        <v>219550.80672426836</v>
      </c>
      <c r="Z14" s="12">
        <f t="shared" si="19"/>
        <v>6344.6349926338844</v>
      </c>
      <c r="AA14" s="12">
        <f t="shared" si="20"/>
        <v>54193.75722874776</v>
      </c>
      <c r="AB14" s="12">
        <f t="shared" si="21"/>
        <v>0</v>
      </c>
      <c r="AC14" s="12">
        <f t="shared" si="21"/>
        <v>0</v>
      </c>
      <c r="AD14" s="12">
        <f t="shared" si="22"/>
        <v>31194.45538044993</v>
      </c>
      <c r="AE14" s="12">
        <f t="shared" si="23"/>
        <v>85388.212609197682</v>
      </c>
      <c r="AF14" s="12">
        <f t="shared" si="24"/>
        <v>16258.127168624329</v>
      </c>
      <c r="AG14" s="8">
        <f t="shared" si="25"/>
        <v>3214086.3433517814</v>
      </c>
      <c r="AH14" s="8">
        <f t="shared" si="26"/>
        <v>105611.73664821871</v>
      </c>
    </row>
    <row r="15" spans="1:34" x14ac:dyDescent="0.55000000000000004">
      <c r="A15" s="9">
        <v>11</v>
      </c>
      <c r="B15" s="10" t="s">
        <v>12</v>
      </c>
      <c r="C15" s="9" t="s">
        <v>48</v>
      </c>
      <c r="D15" s="11"/>
      <c r="E15" s="11">
        <v>240000</v>
      </c>
      <c r="F15" s="11">
        <f t="shared" si="0"/>
        <v>240000</v>
      </c>
      <c r="G15" s="12">
        <f t="shared" si="1"/>
        <v>35347.800119450527</v>
      </c>
      <c r="H15" s="12">
        <f t="shared" si="2"/>
        <v>29805.295640055745</v>
      </c>
      <c r="I15" s="12">
        <f t="shared" si="3"/>
        <v>0</v>
      </c>
      <c r="J15" s="12">
        <f t="shared" si="4"/>
        <v>25600.637069480392</v>
      </c>
      <c r="K15" s="12">
        <f t="shared" si="5"/>
        <v>90753.732828986656</v>
      </c>
      <c r="L15" s="12">
        <f t="shared" si="6"/>
        <v>34095.958590483773</v>
      </c>
      <c r="M15" s="12">
        <f t="shared" si="7"/>
        <v>0</v>
      </c>
      <c r="N15" s="12">
        <f t="shared" si="7"/>
        <v>0</v>
      </c>
      <c r="O15" s="12">
        <f t="shared" si="8"/>
        <v>4739.7969341031257</v>
      </c>
      <c r="P15" s="12">
        <f t="shared" si="9"/>
        <v>38835.755524586901</v>
      </c>
      <c r="Q15" s="12">
        <f t="shared" si="10"/>
        <v>24702.3691021302</v>
      </c>
      <c r="R15" s="12">
        <f t="shared" si="11"/>
        <v>821.81962970336451</v>
      </c>
      <c r="S15" s="12">
        <f t="shared" si="12"/>
        <v>11524.58690025881</v>
      </c>
      <c r="T15" s="12">
        <f t="shared" si="13"/>
        <v>305.79335058729845</v>
      </c>
      <c r="U15" s="12">
        <f t="shared" si="14"/>
        <v>630.69878558630296</v>
      </c>
      <c r="V15" s="12">
        <f t="shared" si="15"/>
        <v>13282.898666135776</v>
      </c>
      <c r="W15" s="12">
        <f t="shared" si="16"/>
        <v>31764.284292255623</v>
      </c>
      <c r="X15" s="12">
        <f t="shared" si="17"/>
        <v>9345.8092773243079</v>
      </c>
      <c r="Y15" s="12">
        <f t="shared" si="18"/>
        <v>15872.58610392196</v>
      </c>
      <c r="Z15" s="12">
        <f t="shared" si="19"/>
        <v>458.69002588094764</v>
      </c>
      <c r="AA15" s="12">
        <f t="shared" si="20"/>
        <v>3917.9773043997611</v>
      </c>
      <c r="AB15" s="12">
        <f t="shared" si="21"/>
        <v>0</v>
      </c>
      <c r="AC15" s="12">
        <f t="shared" si="21"/>
        <v>0</v>
      </c>
      <c r="AD15" s="12">
        <f t="shared" si="22"/>
        <v>2255.225960581326</v>
      </c>
      <c r="AE15" s="12">
        <f t="shared" si="23"/>
        <v>6173.2032649810872</v>
      </c>
      <c r="AF15" s="12">
        <f t="shared" si="24"/>
        <v>1175.3931913199283</v>
      </c>
      <c r="AG15" s="8">
        <f t="shared" si="25"/>
        <v>232364.72227752337</v>
      </c>
      <c r="AH15" s="8">
        <f t="shared" si="26"/>
        <v>7635.2777224766323</v>
      </c>
    </row>
    <row r="16" spans="1:34" x14ac:dyDescent="0.55000000000000004">
      <c r="A16" s="9">
        <v>12</v>
      </c>
      <c r="B16" s="10" t="s">
        <v>13</v>
      </c>
      <c r="C16" s="9" t="s">
        <v>48</v>
      </c>
      <c r="D16" s="11">
        <f>1992300+201960+286845</f>
        <v>2481105</v>
      </c>
      <c r="E16" s="11">
        <v>1793310</v>
      </c>
      <c r="F16" s="11">
        <f t="shared" si="0"/>
        <v>4274415</v>
      </c>
      <c r="G16" s="12">
        <f t="shared" si="1"/>
        <v>629546.52936492139</v>
      </c>
      <c r="H16" s="12">
        <f t="shared" si="2"/>
        <v>530834.17818037025</v>
      </c>
      <c r="I16" s="12">
        <f t="shared" si="3"/>
        <v>0</v>
      </c>
      <c r="J16" s="12">
        <f t="shared" si="4"/>
        <v>455948.94624726259</v>
      </c>
      <c r="K16" s="12">
        <f t="shared" si="5"/>
        <v>1616329.6537925543</v>
      </c>
      <c r="L16" s="12">
        <f t="shared" si="6"/>
        <v>607251.15349392791</v>
      </c>
      <c r="M16" s="12">
        <f t="shared" si="7"/>
        <v>0</v>
      </c>
      <c r="N16" s="12">
        <f t="shared" si="7"/>
        <v>0</v>
      </c>
      <c r="O16" s="12">
        <f t="shared" si="8"/>
        <v>84416.079633685047</v>
      </c>
      <c r="P16" s="12">
        <f t="shared" si="9"/>
        <v>691667.23312761297</v>
      </c>
      <c r="Q16" s="12">
        <f t="shared" si="10"/>
        <v>439950.73760700779</v>
      </c>
      <c r="R16" s="12">
        <f t="shared" si="11"/>
        <v>14636.658968743779</v>
      </c>
      <c r="S16" s="12">
        <f t="shared" si="12"/>
        <v>205253.61298029067</v>
      </c>
      <c r="T16" s="12">
        <f t="shared" si="13"/>
        <v>5446.1986860441966</v>
      </c>
      <c r="U16" s="12">
        <f t="shared" si="14"/>
        <v>11232.784789966156</v>
      </c>
      <c r="V16" s="12">
        <f t="shared" si="15"/>
        <v>236569.2554250448</v>
      </c>
      <c r="W16" s="12">
        <f t="shared" si="16"/>
        <v>565723.88851284096</v>
      </c>
      <c r="X16" s="12">
        <f t="shared" si="17"/>
        <v>166449.44734222576</v>
      </c>
      <c r="Y16" s="12">
        <f t="shared" si="18"/>
        <v>282691.75054748158</v>
      </c>
      <c r="Z16" s="12">
        <f t="shared" si="19"/>
        <v>8169.2980290662954</v>
      </c>
      <c r="AA16" s="12">
        <f t="shared" si="20"/>
        <v>69779.420664941266</v>
      </c>
      <c r="AB16" s="12">
        <f t="shared" si="21"/>
        <v>0</v>
      </c>
      <c r="AC16" s="12">
        <f t="shared" si="21"/>
        <v>0</v>
      </c>
      <c r="AD16" s="12">
        <f t="shared" si="22"/>
        <v>40165.71530957595</v>
      </c>
      <c r="AE16" s="12">
        <f t="shared" si="23"/>
        <v>109945.13597451721</v>
      </c>
      <c r="AF16" s="12">
        <f t="shared" si="24"/>
        <v>20933.826199482381</v>
      </c>
      <c r="AG16" s="8">
        <f t="shared" si="25"/>
        <v>4138430.2265578336</v>
      </c>
      <c r="AH16" s="8">
        <f t="shared" si="26"/>
        <v>135984.77344216639</v>
      </c>
    </row>
    <row r="17" spans="1:34" x14ac:dyDescent="0.55000000000000004">
      <c r="A17" s="9">
        <v>13</v>
      </c>
      <c r="B17" s="10" t="s">
        <v>39</v>
      </c>
      <c r="C17" s="9" t="s">
        <v>48</v>
      </c>
      <c r="D17" s="11">
        <v>2005016.5</v>
      </c>
      <c r="E17" s="11"/>
      <c r="F17" s="11">
        <f t="shared" si="0"/>
        <v>2005016.5</v>
      </c>
      <c r="G17" s="12">
        <f t="shared" si="1"/>
        <v>295303.84365916782</v>
      </c>
      <c r="H17" s="12">
        <f t="shared" si="2"/>
        <v>249000.45644037428</v>
      </c>
      <c r="I17" s="12">
        <f t="shared" si="3"/>
        <v>0</v>
      </c>
      <c r="J17" s="12">
        <f t="shared" si="4"/>
        <v>213873.74889508262</v>
      </c>
      <c r="K17" s="12">
        <f t="shared" si="5"/>
        <v>758178.04899462475</v>
      </c>
      <c r="L17" s="12">
        <f t="shared" si="6"/>
        <v>284845.66482181964</v>
      </c>
      <c r="M17" s="12">
        <f t="shared" si="7"/>
        <v>0</v>
      </c>
      <c r="N17" s="12">
        <f t="shared" si="7"/>
        <v>0</v>
      </c>
      <c r="O17" s="12">
        <f t="shared" si="8"/>
        <v>39597.379414692412</v>
      </c>
      <c r="P17" s="12">
        <f t="shared" si="9"/>
        <v>324443.04423651204</v>
      </c>
      <c r="Q17" s="12">
        <f t="shared" si="10"/>
        <v>206369.40682858849</v>
      </c>
      <c r="R17" s="12">
        <f t="shared" si="11"/>
        <v>6865.674656579733</v>
      </c>
      <c r="S17" s="12">
        <f t="shared" si="12"/>
        <v>96279.112044594862</v>
      </c>
      <c r="T17" s="12">
        <f t="shared" si="13"/>
        <v>2554.6696396575753</v>
      </c>
      <c r="U17" s="12">
        <f t="shared" si="14"/>
        <v>5269.0061317937489</v>
      </c>
      <c r="V17" s="12">
        <f t="shared" si="15"/>
        <v>110968.46247262592</v>
      </c>
      <c r="W17" s="12">
        <f t="shared" si="16"/>
        <v>265366.30881943065</v>
      </c>
      <c r="X17" s="12">
        <f t="shared" si="17"/>
        <v>78077.090862034645</v>
      </c>
      <c r="Y17" s="12">
        <f t="shared" si="18"/>
        <v>132603.32098347601</v>
      </c>
      <c r="Z17" s="12">
        <f t="shared" si="19"/>
        <v>3832.0044594863625</v>
      </c>
      <c r="AA17" s="12">
        <f t="shared" si="20"/>
        <v>32731.704758112683</v>
      </c>
      <c r="AB17" s="12">
        <f t="shared" si="21"/>
        <v>0</v>
      </c>
      <c r="AC17" s="12">
        <f t="shared" si="21"/>
        <v>0</v>
      </c>
      <c r="AD17" s="12">
        <f t="shared" si="22"/>
        <v>18840.688592474617</v>
      </c>
      <c r="AE17" s="12">
        <f t="shared" si="23"/>
        <v>51572.393350587299</v>
      </c>
      <c r="AF17" s="12">
        <f t="shared" si="24"/>
        <v>9819.5114274338048</v>
      </c>
      <c r="AG17" s="8">
        <f t="shared" si="25"/>
        <v>1941229.5924348</v>
      </c>
      <c r="AH17" s="8">
        <f t="shared" si="26"/>
        <v>63786.907565200003</v>
      </c>
    </row>
    <row r="18" spans="1:34" x14ac:dyDescent="0.55000000000000004">
      <c r="A18" s="9"/>
      <c r="B18" s="13" t="s">
        <v>40</v>
      </c>
      <c r="C18" s="14" t="s">
        <v>48</v>
      </c>
      <c r="D18" s="11"/>
      <c r="E18" s="11"/>
      <c r="F18" s="11">
        <f t="shared" si="0"/>
        <v>0</v>
      </c>
      <c r="G18" s="12">
        <f t="shared" si="1"/>
        <v>0</v>
      </c>
      <c r="H18" s="12">
        <f t="shared" si="2"/>
        <v>0</v>
      </c>
      <c r="I18" s="12">
        <f t="shared" si="3"/>
        <v>0</v>
      </c>
      <c r="J18" s="12">
        <f t="shared" si="4"/>
        <v>0</v>
      </c>
      <c r="K18" s="12">
        <f t="shared" si="5"/>
        <v>0</v>
      </c>
      <c r="L18" s="12">
        <f t="shared" si="6"/>
        <v>0</v>
      </c>
      <c r="M18" s="12">
        <f t="shared" si="7"/>
        <v>0</v>
      </c>
      <c r="N18" s="12">
        <f t="shared" si="7"/>
        <v>0</v>
      </c>
      <c r="O18" s="12">
        <f t="shared" si="8"/>
        <v>0</v>
      </c>
      <c r="P18" s="12">
        <f t="shared" si="9"/>
        <v>0</v>
      </c>
      <c r="Q18" s="12">
        <f t="shared" si="10"/>
        <v>0</v>
      </c>
      <c r="R18" s="12">
        <f t="shared" si="11"/>
        <v>0</v>
      </c>
      <c r="S18" s="12">
        <f t="shared" si="12"/>
        <v>0</v>
      </c>
      <c r="T18" s="12">
        <f t="shared" si="13"/>
        <v>0</v>
      </c>
      <c r="U18" s="12">
        <f t="shared" si="14"/>
        <v>0</v>
      </c>
      <c r="V18" s="12">
        <f t="shared" si="15"/>
        <v>0</v>
      </c>
      <c r="W18" s="12">
        <f t="shared" si="16"/>
        <v>0</v>
      </c>
      <c r="X18" s="12">
        <f t="shared" si="17"/>
        <v>0</v>
      </c>
      <c r="Y18" s="12">
        <f t="shared" si="18"/>
        <v>0</v>
      </c>
      <c r="Z18" s="12">
        <f t="shared" si="19"/>
        <v>0</v>
      </c>
      <c r="AA18" s="12">
        <f t="shared" si="20"/>
        <v>0</v>
      </c>
      <c r="AB18" s="12">
        <f t="shared" si="21"/>
        <v>0</v>
      </c>
      <c r="AC18" s="12">
        <f t="shared" si="21"/>
        <v>0</v>
      </c>
      <c r="AD18" s="12">
        <f t="shared" si="22"/>
        <v>0</v>
      </c>
      <c r="AE18" s="12">
        <f t="shared" si="23"/>
        <v>0</v>
      </c>
      <c r="AF18" s="12">
        <f t="shared" si="24"/>
        <v>0</v>
      </c>
      <c r="AG18" s="8">
        <f t="shared" si="25"/>
        <v>0</v>
      </c>
      <c r="AH18" s="8">
        <f t="shared" si="26"/>
        <v>0</v>
      </c>
    </row>
    <row r="19" spans="1:34" x14ac:dyDescent="0.55000000000000004">
      <c r="A19" s="9">
        <v>14</v>
      </c>
      <c r="B19" s="10" t="s">
        <v>14</v>
      </c>
      <c r="C19" s="9" t="s">
        <v>48</v>
      </c>
      <c r="D19" s="11">
        <v>776129.03</v>
      </c>
      <c r="E19" s="11"/>
      <c r="F19" s="11">
        <f t="shared" si="0"/>
        <v>776129.03</v>
      </c>
      <c r="G19" s="12">
        <f t="shared" si="1"/>
        <v>114310.22424726261</v>
      </c>
      <c r="H19" s="12">
        <f t="shared" si="2"/>
        <v>96386.47997491539</v>
      </c>
      <c r="I19" s="12">
        <f t="shared" si="3"/>
        <v>0</v>
      </c>
      <c r="J19" s="12">
        <f t="shared" si="4"/>
        <v>82789.156733824406</v>
      </c>
      <c r="K19" s="12">
        <f t="shared" si="5"/>
        <v>293485.86095600238</v>
      </c>
      <c r="L19" s="12">
        <f t="shared" si="6"/>
        <v>110261.93028230141</v>
      </c>
      <c r="M19" s="12">
        <f t="shared" si="7"/>
        <v>0</v>
      </c>
      <c r="N19" s="12">
        <f t="shared" si="7"/>
        <v>0</v>
      </c>
      <c r="O19" s="12">
        <f t="shared" si="8"/>
        <v>15327.89165359347</v>
      </c>
      <c r="P19" s="12">
        <f t="shared" si="9"/>
        <v>125589.82193589488</v>
      </c>
      <c r="Q19" s="12">
        <f t="shared" si="10"/>
        <v>79884.274041409517</v>
      </c>
      <c r="R19" s="12">
        <f t="shared" si="11"/>
        <v>2657.6586334859649</v>
      </c>
      <c r="S19" s="12">
        <f t="shared" si="12"/>
        <v>37269.026883535735</v>
      </c>
      <c r="T19" s="12">
        <f t="shared" si="13"/>
        <v>988.8962357157078</v>
      </c>
      <c r="U19" s="12">
        <f t="shared" si="14"/>
        <v>2039.5984861636473</v>
      </c>
      <c r="V19" s="12">
        <f t="shared" si="15"/>
        <v>42955.180238901055</v>
      </c>
      <c r="W19" s="12">
        <f t="shared" si="16"/>
        <v>102721.59648496915</v>
      </c>
      <c r="X19" s="12">
        <f t="shared" si="17"/>
        <v>30223.141204061318</v>
      </c>
      <c r="Y19" s="12">
        <f t="shared" si="18"/>
        <v>51329.895235118463</v>
      </c>
      <c r="Z19" s="12">
        <f t="shared" si="19"/>
        <v>1483.3443535735614</v>
      </c>
      <c r="AA19" s="12">
        <f t="shared" si="20"/>
        <v>12670.233020107506</v>
      </c>
      <c r="AB19" s="12">
        <f t="shared" si="21"/>
        <v>0</v>
      </c>
      <c r="AC19" s="12">
        <f t="shared" si="21"/>
        <v>0</v>
      </c>
      <c r="AD19" s="12">
        <f t="shared" si="22"/>
        <v>7293.1097384033455</v>
      </c>
      <c r="AE19" s="12">
        <f t="shared" si="23"/>
        <v>19963.342758510851</v>
      </c>
      <c r="AF19" s="12">
        <f t="shared" si="24"/>
        <v>3801.0699060322518</v>
      </c>
      <c r="AG19" s="8">
        <f t="shared" si="25"/>
        <v>751437.5271144734</v>
      </c>
      <c r="AH19" s="8">
        <f t="shared" si="26"/>
        <v>24691.502885526628</v>
      </c>
    </row>
    <row r="20" spans="1:34" x14ac:dyDescent="0.55000000000000004">
      <c r="A20" s="9">
        <v>15</v>
      </c>
      <c r="B20" s="10" t="s">
        <v>15</v>
      </c>
      <c r="C20" s="9" t="s">
        <v>48</v>
      </c>
      <c r="D20" s="11">
        <v>381026</v>
      </c>
      <c r="E20" s="11">
        <v>972551</v>
      </c>
      <c r="F20" s="11">
        <f t="shared" si="0"/>
        <v>1353577</v>
      </c>
      <c r="G20" s="12">
        <f t="shared" si="1"/>
        <v>199358.20517618954</v>
      </c>
      <c r="H20" s="12">
        <f t="shared" si="2"/>
        <v>168099.01106908222</v>
      </c>
      <c r="I20" s="12">
        <f t="shared" si="3"/>
        <v>0</v>
      </c>
      <c r="J20" s="12">
        <f t="shared" si="4"/>
        <v>144385.13967748359</v>
      </c>
      <c r="K20" s="12">
        <f t="shared" si="5"/>
        <v>511842.35592275532</v>
      </c>
      <c r="L20" s="12">
        <f t="shared" si="6"/>
        <v>192297.93892096356</v>
      </c>
      <c r="M20" s="12">
        <f t="shared" si="7"/>
        <v>0</v>
      </c>
      <c r="N20" s="12">
        <f t="shared" si="7"/>
        <v>0</v>
      </c>
      <c r="O20" s="12">
        <f t="shared" si="8"/>
        <v>26732.00047780211</v>
      </c>
      <c r="P20" s="12">
        <f t="shared" si="9"/>
        <v>219029.93939876568</v>
      </c>
      <c r="Q20" s="12">
        <f t="shared" si="10"/>
        <v>139318.99442564204</v>
      </c>
      <c r="R20" s="12">
        <f t="shared" si="11"/>
        <v>4634.9839538124625</v>
      </c>
      <c r="S20" s="12">
        <f t="shared" si="12"/>
        <v>64997.565677881743</v>
      </c>
      <c r="T20" s="12">
        <f t="shared" si="13"/>
        <v>1724.6451921162652</v>
      </c>
      <c r="U20" s="12">
        <f t="shared" si="14"/>
        <v>3557.080708739797</v>
      </c>
      <c r="V20" s="12">
        <f t="shared" si="15"/>
        <v>74914.275532550266</v>
      </c>
      <c r="W20" s="12">
        <f t="shared" si="16"/>
        <v>179147.51933107706</v>
      </c>
      <c r="X20" s="12">
        <f t="shared" si="17"/>
        <v>52709.468684053354</v>
      </c>
      <c r="Y20" s="12">
        <f t="shared" si="18"/>
        <v>89519.864503284887</v>
      </c>
      <c r="Z20" s="12">
        <f t="shared" si="19"/>
        <v>2586.9677881743978</v>
      </c>
      <c r="AA20" s="12">
        <f t="shared" si="20"/>
        <v>22097.016523989649</v>
      </c>
      <c r="AB20" s="12">
        <f t="shared" si="21"/>
        <v>0</v>
      </c>
      <c r="AC20" s="12">
        <f t="shared" si="21"/>
        <v>0</v>
      </c>
      <c r="AD20" s="12">
        <f t="shared" si="22"/>
        <v>12719.258291857455</v>
      </c>
      <c r="AE20" s="12">
        <f t="shared" si="23"/>
        <v>34816.274815847108</v>
      </c>
      <c r="AF20" s="12">
        <f t="shared" si="24"/>
        <v>6629.1049571968942</v>
      </c>
      <c r="AG20" s="8">
        <f t="shared" si="25"/>
        <v>1310514.765359347</v>
      </c>
      <c r="AH20" s="8">
        <f t="shared" si="26"/>
        <v>43062.234640653012</v>
      </c>
    </row>
    <row r="21" spans="1:34" x14ac:dyDescent="0.55000000000000004">
      <c r="A21" s="9">
        <v>16</v>
      </c>
      <c r="B21" s="10" t="s">
        <v>16</v>
      </c>
      <c r="C21" s="9" t="s">
        <v>48</v>
      </c>
      <c r="D21" s="11">
        <f>8219*35.49+438044+152294+13276625.64</f>
        <v>14158655.950000001</v>
      </c>
      <c r="E21" s="11">
        <v>2470292.08</v>
      </c>
      <c r="F21" s="11">
        <f t="shared" si="0"/>
        <v>16628948.030000001</v>
      </c>
      <c r="G21" s="12">
        <f t="shared" si="1"/>
        <v>2449153.0465048775</v>
      </c>
      <c r="H21" s="12">
        <f t="shared" si="2"/>
        <v>2065127.9675719691</v>
      </c>
      <c r="I21" s="12">
        <f t="shared" si="3"/>
        <v>0</v>
      </c>
      <c r="J21" s="12">
        <f t="shared" si="4"/>
        <v>1773798.5973470039</v>
      </c>
      <c r="K21" s="12">
        <f t="shared" si="5"/>
        <v>6288079.6114238501</v>
      </c>
      <c r="L21" s="12">
        <f t="shared" si="6"/>
        <v>2362416.347642445</v>
      </c>
      <c r="M21" s="12">
        <f t="shared" si="7"/>
        <v>0</v>
      </c>
      <c r="N21" s="12">
        <f t="shared" si="7"/>
        <v>0</v>
      </c>
      <c r="O21" s="12">
        <f t="shared" si="8"/>
        <v>328407.65370814258</v>
      </c>
      <c r="P21" s="12">
        <f t="shared" si="9"/>
        <v>2690824.0013505877</v>
      </c>
      <c r="Q21" s="12">
        <f t="shared" si="10"/>
        <v>1711560.0500716704</v>
      </c>
      <c r="R21" s="12">
        <f t="shared" si="11"/>
        <v>56941.649634879563</v>
      </c>
      <c r="S21" s="12">
        <f t="shared" si="12"/>
        <v>798507.3192984272</v>
      </c>
      <c r="T21" s="12">
        <f t="shared" si="13"/>
        <v>21187.59056181565</v>
      </c>
      <c r="U21" s="12">
        <f t="shared" si="14"/>
        <v>43699.405533744772</v>
      </c>
      <c r="V21" s="12">
        <f t="shared" si="15"/>
        <v>920335.96502886713</v>
      </c>
      <c r="W21" s="12">
        <f t="shared" si="16"/>
        <v>2200860.9696086007</v>
      </c>
      <c r="X21" s="12">
        <f t="shared" si="17"/>
        <v>647545.7365454908</v>
      </c>
      <c r="Y21" s="12">
        <f t="shared" si="18"/>
        <v>1099768.3725992437</v>
      </c>
      <c r="Z21" s="12">
        <f t="shared" si="19"/>
        <v>31781.385842723474</v>
      </c>
      <c r="AA21" s="12">
        <f t="shared" si="20"/>
        <v>271466.00407326297</v>
      </c>
      <c r="AB21" s="12">
        <f t="shared" si="21"/>
        <v>0</v>
      </c>
      <c r="AC21" s="12">
        <f t="shared" si="21"/>
        <v>0</v>
      </c>
      <c r="AD21" s="12">
        <f t="shared" si="22"/>
        <v>156258.48039339043</v>
      </c>
      <c r="AE21" s="12">
        <f t="shared" si="23"/>
        <v>427724.48446665343</v>
      </c>
      <c r="AF21" s="12">
        <f t="shared" si="24"/>
        <v>81439.801221978894</v>
      </c>
      <c r="AG21" s="8">
        <f t="shared" si="25"/>
        <v>16099920.378159666</v>
      </c>
      <c r="AH21" s="8">
        <f t="shared" si="26"/>
        <v>529027.65184033476</v>
      </c>
    </row>
    <row r="22" spans="1:34" x14ac:dyDescent="0.55000000000000004">
      <c r="A22" s="9">
        <v>17</v>
      </c>
      <c r="B22" s="10" t="s">
        <v>73</v>
      </c>
      <c r="C22" s="9" t="s">
        <v>48</v>
      </c>
      <c r="D22" s="11">
        <v>8588568.6699999999</v>
      </c>
      <c r="E22" s="11"/>
      <c r="F22" s="11">
        <f t="shared" si="0"/>
        <v>8588568.6699999999</v>
      </c>
      <c r="G22" s="12">
        <f t="shared" si="1"/>
        <v>1264945.869413896</v>
      </c>
      <c r="H22" s="12">
        <f t="shared" si="2"/>
        <v>1066603.4513927931</v>
      </c>
      <c r="I22" s="12">
        <f t="shared" si="3"/>
        <v>0</v>
      </c>
      <c r="J22" s="12">
        <f t="shared" si="4"/>
        <v>916136.7894457496</v>
      </c>
      <c r="K22" s="12">
        <f t="shared" si="5"/>
        <v>3247686.1102524386</v>
      </c>
      <c r="L22" s="12">
        <f t="shared" si="6"/>
        <v>1220147.8405160264</v>
      </c>
      <c r="M22" s="12">
        <f t="shared" si="7"/>
        <v>0</v>
      </c>
      <c r="N22" s="12">
        <f t="shared" si="7"/>
        <v>0</v>
      </c>
      <c r="O22" s="12">
        <f t="shared" si="8"/>
        <v>169616.96437666734</v>
      </c>
      <c r="P22" s="12">
        <f t="shared" si="9"/>
        <v>1389764.8048926936</v>
      </c>
      <c r="Q22" s="12">
        <f t="shared" si="10"/>
        <v>883991.63893888122</v>
      </c>
      <c r="R22" s="12">
        <f t="shared" si="11"/>
        <v>29409.393016922157</v>
      </c>
      <c r="S22" s="12">
        <f t="shared" si="12"/>
        <v>412415.44160939677</v>
      </c>
      <c r="T22" s="12">
        <f t="shared" si="13"/>
        <v>10943.02995978499</v>
      </c>
      <c r="U22" s="12">
        <f t="shared" si="14"/>
        <v>22569.999292056542</v>
      </c>
      <c r="V22" s="12">
        <f t="shared" si="15"/>
        <v>475337.86387816048</v>
      </c>
      <c r="W22" s="12">
        <f t="shared" si="16"/>
        <v>1136707.2370726657</v>
      </c>
      <c r="X22" s="12">
        <f t="shared" si="17"/>
        <v>334446.35314592876</v>
      </c>
      <c r="Y22" s="12">
        <f t="shared" si="18"/>
        <v>568011.64885008952</v>
      </c>
      <c r="Z22" s="12">
        <f t="shared" si="19"/>
        <v>16414.544939677482</v>
      </c>
      <c r="AA22" s="12">
        <f t="shared" si="20"/>
        <v>140207.57135974517</v>
      </c>
      <c r="AB22" s="12">
        <f t="shared" si="21"/>
        <v>0</v>
      </c>
      <c r="AC22" s="12">
        <f t="shared" si="21"/>
        <v>0</v>
      </c>
      <c r="AD22" s="12">
        <f t="shared" si="22"/>
        <v>80704.845953414289</v>
      </c>
      <c r="AE22" s="12">
        <f t="shared" si="23"/>
        <v>220912.41731315944</v>
      </c>
      <c r="AF22" s="12">
        <f t="shared" si="24"/>
        <v>42062.271407923552</v>
      </c>
      <c r="AG22" s="8"/>
      <c r="AH22" s="8"/>
    </row>
    <row r="23" spans="1:34" x14ac:dyDescent="0.55000000000000004">
      <c r="A23" s="9">
        <v>18</v>
      </c>
      <c r="B23" s="10" t="s">
        <v>17</v>
      </c>
      <c r="C23" s="9" t="s">
        <v>48</v>
      </c>
      <c r="D23" s="11">
        <f>156620.12+98010</f>
        <v>254630.12</v>
      </c>
      <c r="E23" s="11">
        <v>421790</v>
      </c>
      <c r="F23" s="11">
        <f t="shared" si="0"/>
        <v>676420.12</v>
      </c>
      <c r="G23" s="12">
        <f t="shared" si="1"/>
        <v>99624.846660561423</v>
      </c>
      <c r="H23" s="12">
        <f t="shared" si="2"/>
        <v>84003.756889508266</v>
      </c>
      <c r="I23" s="12">
        <f t="shared" si="3"/>
        <v>0</v>
      </c>
      <c r="J23" s="12">
        <f t="shared" si="4"/>
        <v>72153.274994226565</v>
      </c>
      <c r="K23" s="12">
        <f t="shared" si="5"/>
        <v>255781.87854429625</v>
      </c>
      <c r="L23" s="12">
        <f t="shared" si="6"/>
        <v>96096.635005375269</v>
      </c>
      <c r="M23" s="12">
        <f t="shared" si="7"/>
        <v>0</v>
      </c>
      <c r="N23" s="12">
        <f t="shared" si="7"/>
        <v>0</v>
      </c>
      <c r="O23" s="12">
        <f t="shared" si="8"/>
        <v>13358.725045590283</v>
      </c>
      <c r="P23" s="12">
        <f t="shared" si="9"/>
        <v>109455.36005096555</v>
      </c>
      <c r="Q23" s="12">
        <f t="shared" si="10"/>
        <v>69621.581134780019</v>
      </c>
      <c r="R23" s="12">
        <f t="shared" si="11"/>
        <v>2316.2305522596057</v>
      </c>
      <c r="S23" s="12">
        <f t="shared" si="12"/>
        <v>32481.093558431217</v>
      </c>
      <c r="T23" s="12">
        <f t="shared" si="13"/>
        <v>861.85322874776034</v>
      </c>
      <c r="U23" s="12">
        <f t="shared" si="14"/>
        <v>1777.5722842922557</v>
      </c>
      <c r="V23" s="12">
        <f t="shared" si="15"/>
        <v>37436.749623730837</v>
      </c>
      <c r="W23" s="12">
        <f t="shared" si="16"/>
        <v>89525.004136173608</v>
      </c>
      <c r="X23" s="12">
        <f t="shared" si="17"/>
        <v>26340.389303603424</v>
      </c>
      <c r="Y23" s="12">
        <f t="shared" si="18"/>
        <v>44735.569154688434</v>
      </c>
      <c r="Z23" s="12">
        <f t="shared" si="19"/>
        <v>1292.7798431216404</v>
      </c>
      <c r="AA23" s="12">
        <f t="shared" si="20"/>
        <v>11042.494493330678</v>
      </c>
      <c r="AB23" s="12">
        <f t="shared" si="21"/>
        <v>0</v>
      </c>
      <c r="AC23" s="12">
        <f t="shared" si="21"/>
        <v>0</v>
      </c>
      <c r="AD23" s="12">
        <f t="shared" si="22"/>
        <v>6356.1675620147316</v>
      </c>
      <c r="AE23" s="12">
        <f t="shared" si="23"/>
        <v>17398.662055345409</v>
      </c>
      <c r="AF23" s="12">
        <f t="shared" si="24"/>
        <v>3312.7483479992038</v>
      </c>
      <c r="AG23" s="8">
        <f t="shared" si="25"/>
        <v>654900.72219470434</v>
      </c>
      <c r="AH23" s="8">
        <f t="shared" si="26"/>
        <v>21519.397805295652</v>
      </c>
    </row>
    <row r="24" spans="1:34" x14ac:dyDescent="0.55000000000000004">
      <c r="A24" s="9">
        <v>19</v>
      </c>
      <c r="B24" s="10" t="s">
        <v>18</v>
      </c>
      <c r="C24" s="9" t="s">
        <v>48</v>
      </c>
      <c r="D24" s="11">
        <f>129941.91+307750</f>
        <v>437691.91000000003</v>
      </c>
      <c r="E24" s="11">
        <v>373750</v>
      </c>
      <c r="F24" s="11">
        <f t="shared" si="0"/>
        <v>811441.91</v>
      </c>
      <c r="G24" s="12">
        <f t="shared" si="1"/>
        <v>119511.19351343819</v>
      </c>
      <c r="H24" s="12">
        <f t="shared" si="2"/>
        <v>100771.94175950627</v>
      </c>
      <c r="I24" s="12">
        <f t="shared" si="3"/>
        <v>0</v>
      </c>
      <c r="J24" s="12">
        <f t="shared" si="4"/>
        <v>86555.957670316537</v>
      </c>
      <c r="K24" s="12">
        <f t="shared" si="5"/>
        <v>306839.09294326103</v>
      </c>
      <c r="L24" s="12">
        <f t="shared" si="6"/>
        <v>115278.70734142943</v>
      </c>
      <c r="M24" s="12">
        <f t="shared" si="7"/>
        <v>0</v>
      </c>
      <c r="N24" s="12">
        <f t="shared" si="7"/>
        <v>0</v>
      </c>
      <c r="O24" s="12">
        <f t="shared" si="8"/>
        <v>16025.291155086603</v>
      </c>
      <c r="P24" s="12">
        <f t="shared" si="9"/>
        <v>131303.99849651603</v>
      </c>
      <c r="Q24" s="12">
        <f t="shared" si="10"/>
        <v>83518.906523989659</v>
      </c>
      <c r="R24" s="12">
        <f t="shared" si="11"/>
        <v>2778.5787083416285</v>
      </c>
      <c r="S24" s="12">
        <f t="shared" si="12"/>
        <v>38964.720026279116</v>
      </c>
      <c r="T24" s="12">
        <f t="shared" si="13"/>
        <v>1033.8897519410712</v>
      </c>
      <c r="U24" s="12">
        <f t="shared" si="14"/>
        <v>2132.397613378459</v>
      </c>
      <c r="V24" s="12">
        <f t="shared" si="15"/>
        <v>44909.586099940279</v>
      </c>
      <c r="W24" s="12">
        <f t="shared" si="16"/>
        <v>107395.29798287876</v>
      </c>
      <c r="X24" s="12">
        <f t="shared" si="17"/>
        <v>31598.255543698986</v>
      </c>
      <c r="Y24" s="12">
        <f t="shared" si="18"/>
        <v>53665.33993669122</v>
      </c>
      <c r="Z24" s="12">
        <f t="shared" si="19"/>
        <v>1550.8346279116065</v>
      </c>
      <c r="AA24" s="12">
        <f t="shared" si="20"/>
        <v>13246.712446744974</v>
      </c>
      <c r="AB24" s="12">
        <f t="shared" si="21"/>
        <v>0</v>
      </c>
      <c r="AC24" s="12">
        <f t="shared" si="21"/>
        <v>0</v>
      </c>
      <c r="AD24" s="12">
        <f t="shared" si="22"/>
        <v>7624.9369205654002</v>
      </c>
      <c r="AE24" s="12">
        <f t="shared" si="23"/>
        <v>20871.649367310376</v>
      </c>
      <c r="AF24" s="12">
        <f t="shared" si="24"/>
        <v>3974.0137340234924</v>
      </c>
      <c r="AG24" s="8">
        <f t="shared" si="25"/>
        <v>785626.97525622125</v>
      </c>
      <c r="AH24" s="8">
        <f t="shared" si="26"/>
        <v>25814.93474377878</v>
      </c>
    </row>
    <row r="25" spans="1:34" x14ac:dyDescent="0.55000000000000004">
      <c r="A25" s="9">
        <v>20</v>
      </c>
      <c r="B25" s="10" t="s">
        <v>19</v>
      </c>
      <c r="C25" s="9" t="s">
        <v>48</v>
      </c>
      <c r="D25" s="11">
        <f>445257.02+75950+247714</f>
        <v>768921.02</v>
      </c>
      <c r="E25" s="11">
        <f>12965+160972.91</f>
        <v>173937.91</v>
      </c>
      <c r="F25" s="11">
        <f t="shared" si="0"/>
        <v>942858.93</v>
      </c>
      <c r="G25" s="12">
        <f t="shared" si="1"/>
        <v>138866.62082699582</v>
      </c>
      <c r="H25" s="12">
        <f t="shared" si="2"/>
        <v>117092.45481465261</v>
      </c>
      <c r="I25" s="12">
        <f t="shared" si="3"/>
        <v>0</v>
      </c>
      <c r="J25" s="12">
        <f t="shared" si="4"/>
        <v>100574.12197770258</v>
      </c>
      <c r="K25" s="12">
        <f t="shared" si="5"/>
        <v>356533.19761935103</v>
      </c>
      <c r="L25" s="12">
        <f t="shared" si="6"/>
        <v>133948.66264144934</v>
      </c>
      <c r="M25" s="12">
        <f t="shared" si="7"/>
        <v>0</v>
      </c>
      <c r="N25" s="12">
        <f t="shared" si="7"/>
        <v>0</v>
      </c>
      <c r="O25" s="12">
        <f t="shared" si="8"/>
        <v>18620.666107107307</v>
      </c>
      <c r="P25" s="12">
        <f t="shared" si="9"/>
        <v>152569.32874855664</v>
      </c>
      <c r="Q25" s="12">
        <f t="shared" si="10"/>
        <v>97045.205417081437</v>
      </c>
      <c r="R25" s="12">
        <f t="shared" si="11"/>
        <v>3228.5832363129607</v>
      </c>
      <c r="S25" s="12">
        <f t="shared" si="12"/>
        <v>45275.248639458499</v>
      </c>
      <c r="T25" s="12">
        <f t="shared" si="13"/>
        <v>1201.3332972327296</v>
      </c>
      <c r="U25" s="12">
        <f t="shared" si="14"/>
        <v>2477.7499255425046</v>
      </c>
      <c r="V25" s="12">
        <f t="shared" si="15"/>
        <v>52182.915098546691</v>
      </c>
      <c r="W25" s="12">
        <f t="shared" si="16"/>
        <v>124788.49625004978</v>
      </c>
      <c r="X25" s="12">
        <f t="shared" si="17"/>
        <v>36715.748896675294</v>
      </c>
      <c r="Y25" s="12">
        <f t="shared" si="18"/>
        <v>62356.706459486362</v>
      </c>
      <c r="Z25" s="12">
        <f t="shared" si="19"/>
        <v>1801.9999458490943</v>
      </c>
      <c r="AA25" s="12">
        <f t="shared" si="20"/>
        <v>15392.082870794346</v>
      </c>
      <c r="AB25" s="12">
        <f t="shared" si="21"/>
        <v>0</v>
      </c>
      <c r="AC25" s="12">
        <f t="shared" si="21"/>
        <v>0</v>
      </c>
      <c r="AD25" s="12">
        <f t="shared" si="22"/>
        <v>8859.8330670913801</v>
      </c>
      <c r="AE25" s="12">
        <f t="shared" si="23"/>
        <v>24251.915937885726</v>
      </c>
      <c r="AF25" s="12">
        <f t="shared" si="24"/>
        <v>4617.6248612383042</v>
      </c>
      <c r="AG25" s="8">
        <f t="shared" si="25"/>
        <v>912863.13923472038</v>
      </c>
      <c r="AH25" s="8">
        <f t="shared" si="26"/>
        <v>29995.790765279671</v>
      </c>
    </row>
    <row r="26" spans="1:34" x14ac:dyDescent="0.55000000000000004">
      <c r="A26" s="9">
        <v>21</v>
      </c>
      <c r="B26" s="10" t="s">
        <v>20</v>
      </c>
      <c r="C26" s="9" t="s">
        <v>48</v>
      </c>
      <c r="D26" s="11"/>
      <c r="E26" s="11">
        <v>5259879.84</v>
      </c>
      <c r="F26" s="11">
        <f t="shared" si="0"/>
        <v>5259879.84</v>
      </c>
      <c r="G26" s="12">
        <f t="shared" si="1"/>
        <v>774688.25515269756</v>
      </c>
      <c r="H26" s="12">
        <f t="shared" si="2"/>
        <v>653217.80692653789</v>
      </c>
      <c r="I26" s="12">
        <f t="shared" si="3"/>
        <v>0</v>
      </c>
      <c r="J26" s="12">
        <f t="shared" si="4"/>
        <v>561067.81172048568</v>
      </c>
      <c r="K26" s="12">
        <f t="shared" si="5"/>
        <v>1988973.8737997212</v>
      </c>
      <c r="L26" s="12">
        <f t="shared" si="6"/>
        <v>747252.68839816842</v>
      </c>
      <c r="M26" s="12">
        <f t="shared" si="7"/>
        <v>0</v>
      </c>
      <c r="N26" s="12">
        <f t="shared" si="7"/>
        <v>0</v>
      </c>
      <c r="O26" s="12">
        <f t="shared" si="8"/>
        <v>103878.17641409516</v>
      </c>
      <c r="P26" s="12">
        <f t="shared" si="9"/>
        <v>851130.86481226352</v>
      </c>
      <c r="Q26" s="12">
        <f t="shared" si="10"/>
        <v>541381.22183555644</v>
      </c>
      <c r="R26" s="12">
        <f t="shared" si="11"/>
        <v>18011.135426637469</v>
      </c>
      <c r="S26" s="12">
        <f t="shared" si="12"/>
        <v>252574.75958749751</v>
      </c>
      <c r="T26" s="12">
        <f t="shared" si="13"/>
        <v>6701.8178331674299</v>
      </c>
      <c r="U26" s="12">
        <f t="shared" si="14"/>
        <v>13822.499280907823</v>
      </c>
      <c r="V26" s="12">
        <f t="shared" si="15"/>
        <v>291110.21212821023</v>
      </c>
      <c r="W26" s="12">
        <f t="shared" si="16"/>
        <v>696151.32742026681</v>
      </c>
      <c r="X26" s="12">
        <f t="shared" si="17"/>
        <v>204824.30752617956</v>
      </c>
      <c r="Y26" s="12">
        <f t="shared" si="18"/>
        <v>347866.23190284689</v>
      </c>
      <c r="Z26" s="12">
        <f t="shared" si="19"/>
        <v>10052.726749751144</v>
      </c>
      <c r="AA26" s="12">
        <f t="shared" si="20"/>
        <v>85867.040987457702</v>
      </c>
      <c r="AB26" s="12">
        <f t="shared" si="21"/>
        <v>0</v>
      </c>
      <c r="AC26" s="12">
        <f t="shared" si="21"/>
        <v>0</v>
      </c>
      <c r="AD26" s="12">
        <f t="shared" si="22"/>
        <v>49425.906519609794</v>
      </c>
      <c r="AE26" s="12">
        <f t="shared" si="23"/>
        <v>135292.9475070675</v>
      </c>
      <c r="AF26" s="12">
        <f t="shared" si="24"/>
        <v>25760.112296237305</v>
      </c>
      <c r="AG26" s="8">
        <f t="shared" si="25"/>
        <v>5092543.8259781012</v>
      </c>
      <c r="AH26" s="8">
        <f t="shared" si="26"/>
        <v>167336.01402189862</v>
      </c>
    </row>
    <row r="27" spans="1:34" x14ac:dyDescent="0.55000000000000004">
      <c r="A27" s="9">
        <v>22</v>
      </c>
      <c r="B27" s="10" t="s">
        <v>21</v>
      </c>
      <c r="C27" s="9" t="s">
        <v>48</v>
      </c>
      <c r="D27" s="11"/>
      <c r="E27" s="11">
        <v>1762738.33</v>
      </c>
      <c r="F27" s="11">
        <f t="shared" si="0"/>
        <v>1762738.33</v>
      </c>
      <c r="G27" s="12">
        <f t="shared" si="1"/>
        <v>259620.50896555843</v>
      </c>
      <c r="H27" s="12">
        <f t="shared" si="2"/>
        <v>218912.23775711728</v>
      </c>
      <c r="I27" s="12">
        <f t="shared" si="3"/>
        <v>0</v>
      </c>
      <c r="J27" s="12">
        <f t="shared" si="4"/>
        <v>188030.10097829986</v>
      </c>
      <c r="K27" s="12">
        <f t="shared" si="5"/>
        <v>666562.8477009756</v>
      </c>
      <c r="L27" s="12">
        <f t="shared" si="6"/>
        <v>250426.05460641053</v>
      </c>
      <c r="M27" s="12">
        <f t="shared" si="7"/>
        <v>0</v>
      </c>
      <c r="N27" s="12">
        <f t="shared" si="7"/>
        <v>0</v>
      </c>
      <c r="O27" s="12">
        <f t="shared" si="8"/>
        <v>34812.590550666937</v>
      </c>
      <c r="P27" s="12">
        <f t="shared" si="9"/>
        <v>285238.64515707747</v>
      </c>
      <c r="Q27" s="12">
        <f t="shared" si="10"/>
        <v>181432.55357555248</v>
      </c>
      <c r="R27" s="12">
        <f t="shared" si="11"/>
        <v>6036.0540067688635</v>
      </c>
      <c r="S27" s="12">
        <f t="shared" si="12"/>
        <v>84645.129443758706</v>
      </c>
      <c r="T27" s="12">
        <f t="shared" si="13"/>
        <v>2245.9735839139958</v>
      </c>
      <c r="U27" s="12">
        <f t="shared" si="14"/>
        <v>4632.3205168226159</v>
      </c>
      <c r="V27" s="12">
        <f t="shared" si="15"/>
        <v>97559.477551264179</v>
      </c>
      <c r="W27" s="12">
        <f t="shared" si="16"/>
        <v>233300.50602906631</v>
      </c>
      <c r="X27" s="12">
        <f t="shared" si="17"/>
        <v>68642.567658371496</v>
      </c>
      <c r="Y27" s="12">
        <f t="shared" si="18"/>
        <v>116580.06634003585</v>
      </c>
      <c r="Z27" s="12">
        <f t="shared" si="19"/>
        <v>3368.9603758709936</v>
      </c>
      <c r="AA27" s="12">
        <f t="shared" si="20"/>
        <v>28776.536543898073</v>
      </c>
      <c r="AB27" s="12">
        <f t="shared" si="21"/>
        <v>0</v>
      </c>
      <c r="AC27" s="12">
        <f t="shared" si="21"/>
        <v>0</v>
      </c>
      <c r="AD27" s="12">
        <f t="shared" si="22"/>
        <v>16564.055181365718</v>
      </c>
      <c r="AE27" s="12">
        <f t="shared" si="23"/>
        <v>45340.591725263788</v>
      </c>
      <c r="AF27" s="12">
        <f t="shared" si="24"/>
        <v>8632.9609631694202</v>
      </c>
      <c r="AG27" s="8">
        <f t="shared" si="25"/>
        <v>1706659.1770766475</v>
      </c>
      <c r="AH27" s="8">
        <f t="shared" si="26"/>
        <v>56079.152923352551</v>
      </c>
    </row>
    <row r="28" spans="1:34" s="29" customFormat="1" x14ac:dyDescent="0.55000000000000004">
      <c r="A28" s="24">
        <v>23</v>
      </c>
      <c r="B28" s="25" t="s">
        <v>22</v>
      </c>
      <c r="C28" s="24" t="s">
        <v>37</v>
      </c>
      <c r="D28" s="26">
        <v>3189228.61</v>
      </c>
      <c r="E28" s="26">
        <v>404523.45</v>
      </c>
      <c r="F28" s="26">
        <f t="shared" si="0"/>
        <v>3593752.06</v>
      </c>
      <c r="G28" s="27">
        <f>+F28*8809.94/577917.31</f>
        <v>54784.204376014277</v>
      </c>
      <c r="H28" s="27">
        <f>+F28*1545/577917.31</f>
        <v>9607.5110342342905</v>
      </c>
      <c r="I28" s="27">
        <v>0</v>
      </c>
      <c r="J28" s="27">
        <f>+F28*11845/577917.31</f>
        <v>73657.58459579623</v>
      </c>
      <c r="K28" s="27">
        <f>SUM(G28:J28)</f>
        <v>138049.3000060448</v>
      </c>
      <c r="L28" s="27">
        <f>+F28*27639.3/577917.31</f>
        <v>171873.70856214358</v>
      </c>
      <c r="M28" s="27">
        <v>0</v>
      </c>
      <c r="N28" s="27">
        <v>0</v>
      </c>
      <c r="O28" s="27">
        <f>+F28*2880/577917.31</f>
        <v>17909.146782261978</v>
      </c>
      <c r="P28" s="27">
        <f>SUM(L28:O28)</f>
        <v>189782.85534440557</v>
      </c>
      <c r="Q28" s="27">
        <f>+F28*27064.87/577917.31</f>
        <v>168301.64217806901</v>
      </c>
      <c r="R28" s="27">
        <v>0</v>
      </c>
      <c r="S28" s="27">
        <f>+F28*2801/577917.31</f>
        <v>17417.888936498541</v>
      </c>
      <c r="T28" s="27">
        <f>+F28*346.98/577917.31</f>
        <v>2157.6790800379381</v>
      </c>
      <c r="U28" s="27">
        <v>0</v>
      </c>
      <c r="V28" s="27">
        <f>SUM(R28:U28)</f>
        <v>19575.568016536479</v>
      </c>
      <c r="W28" s="27">
        <f>+F28*2154.89/577917.31</f>
        <v>13400.083788065456</v>
      </c>
      <c r="X28" s="27">
        <f>+F28*16757/577917.31</f>
        <v>104202.62938554306</v>
      </c>
      <c r="Y28" s="27">
        <f>+F28*22551/577917.31</f>
        <v>140232.35037735759</v>
      </c>
      <c r="Z28" s="27">
        <f>+G28*22551/577917.31</f>
        <v>2137.742842282225</v>
      </c>
      <c r="AA28" s="27">
        <f>+F28*5835.58/577917.31</f>
        <v>36288.284298483457</v>
      </c>
      <c r="AB28" s="27">
        <v>0</v>
      </c>
      <c r="AC28" s="27">
        <v>0</v>
      </c>
      <c r="AD28" s="27">
        <v>0</v>
      </c>
      <c r="AE28" s="27">
        <f t="shared" ref="AE28:AE52" si="27">SUM(AA28:AD28)</f>
        <v>36288.284298483457</v>
      </c>
      <c r="AF28" s="27">
        <f>+F28*5835.58/577917.31</f>
        <v>36288.284298483457</v>
      </c>
      <c r="AG28" s="28">
        <f>+K28+P28+Q28+V28+W28+X28+Y28++AE28+AF28</f>
        <v>846120.99769298895</v>
      </c>
      <c r="AH28" s="28">
        <f>+F28-AG28</f>
        <v>2747631.0623070113</v>
      </c>
    </row>
    <row r="29" spans="1:34" x14ac:dyDescent="0.55000000000000004">
      <c r="A29" s="9">
        <v>24</v>
      </c>
      <c r="B29" s="10" t="s">
        <v>23</v>
      </c>
      <c r="C29" s="34" t="s">
        <v>64</v>
      </c>
      <c r="D29" s="11">
        <f>33128728.31+708999.48</f>
        <v>33837727.789999999</v>
      </c>
      <c r="E29" s="11">
        <v>604362.16</v>
      </c>
      <c r="F29" s="11">
        <f t="shared" si="0"/>
        <v>34442089.949999996</v>
      </c>
      <c r="G29" s="12">
        <f t="shared" ref="G29:G37" si="28">$F29*1849.5/12557.5</f>
        <v>5072717.1302030655</v>
      </c>
      <c r="H29" s="12">
        <f t="shared" ref="H29:H37" si="29">$F29*1559.5/12557.5</f>
        <v>4277319.472588094</v>
      </c>
      <c r="I29" s="12">
        <f t="shared" ref="I29:I37" si="30">$F29*0/12557.5</f>
        <v>0</v>
      </c>
      <c r="J29" s="12">
        <f t="shared" ref="J29:J37" si="31">$F29*1339.5/12557.5</f>
        <v>3673914.3530181162</v>
      </c>
      <c r="K29" s="12">
        <f t="shared" ref="K29:K37" si="32">SUM(G29:J29)</f>
        <v>13023950.955809277</v>
      </c>
      <c r="L29" s="12">
        <f t="shared" ref="L29:L37" si="33">$F29*1784/12557.5</f>
        <v>4893066.9696038216</v>
      </c>
      <c r="M29" s="12">
        <f t="shared" ref="M29:N37" si="34">$F29*0/12557.5</f>
        <v>0</v>
      </c>
      <c r="N29" s="12">
        <f t="shared" si="34"/>
        <v>0</v>
      </c>
      <c r="O29" s="12">
        <f t="shared" ref="O29:O37" si="35">$F29*248/12557.5</f>
        <v>680202.13478797523</v>
      </c>
      <c r="P29" s="12">
        <f t="shared" ref="P29:P37" si="36">SUM(L29:O29)</f>
        <v>5573269.1043917965</v>
      </c>
      <c r="Q29" s="12">
        <f t="shared" ref="Q29:Q37" si="37">$F29*1292.5/12557.5</f>
        <v>3545005.0774736209</v>
      </c>
      <c r="R29" s="12">
        <f t="shared" ref="R29:R37" si="38">$F29*43/12557.5</f>
        <v>117938.27337049571</v>
      </c>
      <c r="S29" s="12">
        <f t="shared" ref="S29:S37" si="39">$F29*603/12557.5</f>
        <v>1653878.5777304398</v>
      </c>
      <c r="T29" s="12">
        <f t="shared" ref="T29:T37" si="40">$F29*16/12557.5</f>
        <v>43884.008695998404</v>
      </c>
      <c r="U29" s="12">
        <f t="shared" ref="U29:U37" si="41">$F29*33/12557.5</f>
        <v>90510.767935496711</v>
      </c>
      <c r="V29" s="12">
        <f t="shared" ref="V29:V37" si="42">SUM(R29:U29)</f>
        <v>1906211.6277324308</v>
      </c>
      <c r="W29" s="12">
        <f t="shared" ref="W29:W37" si="43">$F29*1662/12557.5</f>
        <v>4558451.4032968339</v>
      </c>
      <c r="X29" s="12">
        <f t="shared" ref="X29:X37" si="44">$F29*489/12557.5</f>
        <v>1341205.0157714512</v>
      </c>
      <c r="Y29" s="12">
        <f t="shared" ref="Y29:Y37" si="45">$F29*830.5/12557.5</f>
        <v>2277854.3263766668</v>
      </c>
      <c r="Z29" s="12">
        <f t="shared" ref="Z29:Z37" si="46">$F29*24/12557.5</f>
        <v>65826.013043997606</v>
      </c>
      <c r="AA29" s="12">
        <f t="shared" ref="AA29:AA37" si="47">$F29*205/12557.5</f>
        <v>562263.86141747946</v>
      </c>
      <c r="AB29" s="12">
        <f t="shared" ref="AB29:AC37" si="48">$F29*0/12557.5</f>
        <v>0</v>
      </c>
      <c r="AC29" s="12">
        <f t="shared" si="48"/>
        <v>0</v>
      </c>
      <c r="AD29" s="12">
        <f t="shared" ref="AD29:AD37" si="49">$F29*118/12557.5</f>
        <v>323644.56413298822</v>
      </c>
      <c r="AE29" s="12">
        <f t="shared" si="27"/>
        <v>885908.42555046768</v>
      </c>
      <c r="AF29" s="12">
        <f t="shared" ref="AF29:AF37" si="50">$F29*61.5/12557.5</f>
        <v>168679.15842524386</v>
      </c>
      <c r="AG29" s="8">
        <f t="shared" ref="AG29:AG37" si="51">+K29+P29+Q29+V29+W29+X29+Y29+AE29+AF29+Z29</f>
        <v>33346361.107871786</v>
      </c>
      <c r="AH29" s="8">
        <f t="shared" ref="AH29:AH37" si="52">+F29-AG29</f>
        <v>1095728.8421282098</v>
      </c>
    </row>
    <row r="30" spans="1:34" x14ac:dyDescent="0.55000000000000004">
      <c r="A30" s="9">
        <v>25</v>
      </c>
      <c r="B30" s="10" t="s">
        <v>24</v>
      </c>
      <c r="C30" s="9" t="s">
        <v>48</v>
      </c>
      <c r="D30" s="11"/>
      <c r="E30" s="11"/>
      <c r="F30" s="11">
        <f t="shared" si="0"/>
        <v>0</v>
      </c>
      <c r="G30" s="12">
        <f t="shared" si="28"/>
        <v>0</v>
      </c>
      <c r="H30" s="12">
        <f t="shared" si="29"/>
        <v>0</v>
      </c>
      <c r="I30" s="12">
        <f t="shared" si="30"/>
        <v>0</v>
      </c>
      <c r="J30" s="12">
        <f t="shared" si="31"/>
        <v>0</v>
      </c>
      <c r="K30" s="12">
        <f t="shared" si="32"/>
        <v>0</v>
      </c>
      <c r="L30" s="12">
        <f t="shared" si="33"/>
        <v>0</v>
      </c>
      <c r="M30" s="12">
        <f t="shared" si="34"/>
        <v>0</v>
      </c>
      <c r="N30" s="12">
        <f t="shared" si="34"/>
        <v>0</v>
      </c>
      <c r="O30" s="12">
        <f t="shared" si="35"/>
        <v>0</v>
      </c>
      <c r="P30" s="12">
        <f t="shared" si="36"/>
        <v>0</v>
      </c>
      <c r="Q30" s="12">
        <f t="shared" si="37"/>
        <v>0</v>
      </c>
      <c r="R30" s="12">
        <f t="shared" si="38"/>
        <v>0</v>
      </c>
      <c r="S30" s="12">
        <f t="shared" si="39"/>
        <v>0</v>
      </c>
      <c r="T30" s="12">
        <f t="shared" si="40"/>
        <v>0</v>
      </c>
      <c r="U30" s="12">
        <f t="shared" si="41"/>
        <v>0</v>
      </c>
      <c r="V30" s="12">
        <f t="shared" si="42"/>
        <v>0</v>
      </c>
      <c r="W30" s="12">
        <f t="shared" si="43"/>
        <v>0</v>
      </c>
      <c r="X30" s="12">
        <f t="shared" si="44"/>
        <v>0</v>
      </c>
      <c r="Y30" s="12">
        <f t="shared" si="45"/>
        <v>0</v>
      </c>
      <c r="Z30" s="12">
        <f t="shared" si="46"/>
        <v>0</v>
      </c>
      <c r="AA30" s="12">
        <f t="shared" si="47"/>
        <v>0</v>
      </c>
      <c r="AB30" s="12">
        <f t="shared" si="48"/>
        <v>0</v>
      </c>
      <c r="AC30" s="12">
        <f t="shared" si="48"/>
        <v>0</v>
      </c>
      <c r="AD30" s="12">
        <f t="shared" si="49"/>
        <v>0</v>
      </c>
      <c r="AE30" s="12">
        <f t="shared" si="27"/>
        <v>0</v>
      </c>
      <c r="AF30" s="12">
        <f t="shared" si="50"/>
        <v>0</v>
      </c>
      <c r="AG30" s="8">
        <f t="shared" si="51"/>
        <v>0</v>
      </c>
      <c r="AH30" s="8">
        <f t="shared" si="52"/>
        <v>0</v>
      </c>
    </row>
    <row r="31" spans="1:34" x14ac:dyDescent="0.55000000000000004">
      <c r="A31" s="9">
        <v>26</v>
      </c>
      <c r="B31" s="10" t="s">
        <v>25</v>
      </c>
      <c r="C31" s="9" t="s">
        <v>48</v>
      </c>
      <c r="D31" s="11">
        <f>25+286145.31</f>
        <v>286170.31</v>
      </c>
      <c r="E31" s="11">
        <v>56337.05</v>
      </c>
      <c r="F31" s="11">
        <f t="shared" si="0"/>
        <v>342507.36</v>
      </c>
      <c r="G31" s="12">
        <f t="shared" si="28"/>
        <v>50445.340419669512</v>
      </c>
      <c r="H31" s="12">
        <f t="shared" si="29"/>
        <v>42535.55468206251</v>
      </c>
      <c r="I31" s="12">
        <f t="shared" si="30"/>
        <v>0</v>
      </c>
      <c r="J31" s="12">
        <f t="shared" si="31"/>
        <v>36535.027570774437</v>
      </c>
      <c r="K31" s="12">
        <f t="shared" si="32"/>
        <v>129515.92267250645</v>
      </c>
      <c r="L31" s="12">
        <f t="shared" si="33"/>
        <v>48658.819847899664</v>
      </c>
      <c r="M31" s="12">
        <f t="shared" si="34"/>
        <v>0</v>
      </c>
      <c r="N31" s="12">
        <f t="shared" si="34"/>
        <v>0</v>
      </c>
      <c r="O31" s="12">
        <f t="shared" si="35"/>
        <v>6764.2305618156479</v>
      </c>
      <c r="P31" s="12">
        <f t="shared" si="36"/>
        <v>55423.05040971531</v>
      </c>
      <c r="Q31" s="12">
        <f t="shared" si="37"/>
        <v>35253.096778817438</v>
      </c>
      <c r="R31" s="12">
        <f t="shared" si="38"/>
        <v>1172.8302990244872</v>
      </c>
      <c r="S31" s="12">
        <f t="shared" si="39"/>
        <v>16446.899309575951</v>
      </c>
      <c r="T31" s="12">
        <f t="shared" si="40"/>
        <v>436.40197173004179</v>
      </c>
      <c r="U31" s="12">
        <f t="shared" si="41"/>
        <v>900.07906669321119</v>
      </c>
      <c r="V31" s="12">
        <f t="shared" si="42"/>
        <v>18956.210647023694</v>
      </c>
      <c r="W31" s="12">
        <f t="shared" si="43"/>
        <v>45331.254813458087</v>
      </c>
      <c r="X31" s="12">
        <f t="shared" si="44"/>
        <v>13337.535260999402</v>
      </c>
      <c r="Y31" s="12">
        <f t="shared" si="45"/>
        <v>22651.989845112479</v>
      </c>
      <c r="Z31" s="12">
        <f t="shared" si="46"/>
        <v>654.60295759506266</v>
      </c>
      <c r="AA31" s="12">
        <f t="shared" si="47"/>
        <v>5591.4002627911605</v>
      </c>
      <c r="AB31" s="12">
        <f t="shared" si="48"/>
        <v>0</v>
      </c>
      <c r="AC31" s="12">
        <f t="shared" si="48"/>
        <v>0</v>
      </c>
      <c r="AD31" s="12">
        <f t="shared" si="49"/>
        <v>3218.4645415090581</v>
      </c>
      <c r="AE31" s="12">
        <f t="shared" si="27"/>
        <v>8809.8648043002177</v>
      </c>
      <c r="AF31" s="12">
        <f t="shared" si="50"/>
        <v>1677.4200788373482</v>
      </c>
      <c r="AG31" s="8">
        <f t="shared" si="51"/>
        <v>331610.94826836558</v>
      </c>
      <c r="AH31" s="8">
        <f t="shared" si="52"/>
        <v>10896.411731634405</v>
      </c>
    </row>
    <row r="32" spans="1:34" x14ac:dyDescent="0.55000000000000004">
      <c r="A32" s="9"/>
      <c r="B32" s="10" t="s">
        <v>74</v>
      </c>
      <c r="C32" s="9" t="s">
        <v>48</v>
      </c>
      <c r="D32" s="11"/>
      <c r="E32" s="11">
        <v>34400</v>
      </c>
      <c r="F32" s="11">
        <f t="shared" si="0"/>
        <v>34400</v>
      </c>
      <c r="G32" s="12">
        <f t="shared" si="28"/>
        <v>5066.5180171212423</v>
      </c>
      <c r="H32" s="12">
        <f t="shared" si="29"/>
        <v>4272.092375074657</v>
      </c>
      <c r="I32" s="12">
        <f t="shared" si="30"/>
        <v>0</v>
      </c>
      <c r="J32" s="12">
        <f t="shared" si="31"/>
        <v>3669.4246466255227</v>
      </c>
      <c r="K32" s="12">
        <f t="shared" si="32"/>
        <v>13008.035038821423</v>
      </c>
      <c r="L32" s="12">
        <f t="shared" si="33"/>
        <v>4887.0873979693406</v>
      </c>
      <c r="M32" s="12">
        <f t="shared" si="34"/>
        <v>0</v>
      </c>
      <c r="N32" s="12">
        <f t="shared" si="34"/>
        <v>0</v>
      </c>
      <c r="O32" s="12">
        <f t="shared" si="35"/>
        <v>679.37089388811467</v>
      </c>
      <c r="P32" s="12">
        <f t="shared" si="36"/>
        <v>5566.4582918574552</v>
      </c>
      <c r="Q32" s="12">
        <f t="shared" si="37"/>
        <v>3540.6729046386622</v>
      </c>
      <c r="R32" s="12">
        <f t="shared" si="38"/>
        <v>117.79414692414892</v>
      </c>
      <c r="S32" s="12">
        <f t="shared" si="39"/>
        <v>1651.8574557037628</v>
      </c>
      <c r="T32" s="12">
        <f t="shared" si="40"/>
        <v>43.830380250846105</v>
      </c>
      <c r="U32" s="12">
        <f t="shared" si="41"/>
        <v>90.4001592673701</v>
      </c>
      <c r="V32" s="12">
        <f t="shared" si="42"/>
        <v>1903.8821421461278</v>
      </c>
      <c r="W32" s="12">
        <f t="shared" si="43"/>
        <v>4552.8807485566394</v>
      </c>
      <c r="X32" s="12">
        <f t="shared" si="44"/>
        <v>1339.5659964164843</v>
      </c>
      <c r="Y32" s="12">
        <f t="shared" si="45"/>
        <v>2275.0706748954808</v>
      </c>
      <c r="Z32" s="12">
        <f t="shared" si="46"/>
        <v>65.745570376269157</v>
      </c>
      <c r="AA32" s="12">
        <f t="shared" si="47"/>
        <v>561.57674696396577</v>
      </c>
      <c r="AB32" s="12">
        <f t="shared" si="48"/>
        <v>0</v>
      </c>
      <c r="AC32" s="12">
        <f t="shared" si="48"/>
        <v>0</v>
      </c>
      <c r="AD32" s="12">
        <f t="shared" si="49"/>
        <v>323.24905434999005</v>
      </c>
      <c r="AE32" s="12">
        <f t="shared" si="27"/>
        <v>884.82580131395582</v>
      </c>
      <c r="AF32" s="12">
        <f t="shared" si="50"/>
        <v>168.47302408918972</v>
      </c>
      <c r="AG32" s="8"/>
      <c r="AH32" s="8"/>
    </row>
    <row r="33" spans="1:34" x14ac:dyDescent="0.55000000000000004">
      <c r="A33" s="9">
        <v>27</v>
      </c>
      <c r="B33" s="10" t="s">
        <v>72</v>
      </c>
      <c r="C33" s="9" t="s">
        <v>48</v>
      </c>
      <c r="D33" s="11">
        <f>1491672+1119529.53+15000</f>
        <v>2626201.5300000003</v>
      </c>
      <c r="E33" s="11"/>
      <c r="F33" s="11">
        <f t="shared" si="0"/>
        <v>2626201.5300000003</v>
      </c>
      <c r="G33" s="12">
        <f t="shared" si="28"/>
        <v>386793.52814931324</v>
      </c>
      <c r="H33" s="12">
        <f t="shared" si="29"/>
        <v>326144.63755006972</v>
      </c>
      <c r="I33" s="12">
        <f t="shared" si="30"/>
        <v>0</v>
      </c>
      <c r="J33" s="12">
        <f t="shared" si="31"/>
        <v>280135.13433685055</v>
      </c>
      <c r="K33" s="12">
        <f t="shared" si="32"/>
        <v>993073.30003623362</v>
      </c>
      <c r="L33" s="12">
        <f t="shared" si="33"/>
        <v>373095.24423810473</v>
      </c>
      <c r="M33" s="12">
        <f t="shared" si="34"/>
        <v>0</v>
      </c>
      <c r="N33" s="12">
        <f t="shared" si="34"/>
        <v>0</v>
      </c>
      <c r="O33" s="12">
        <f t="shared" si="35"/>
        <v>51865.258167628912</v>
      </c>
      <c r="P33" s="12">
        <f t="shared" si="36"/>
        <v>424960.50240573363</v>
      </c>
      <c r="Q33" s="12">
        <f t="shared" si="37"/>
        <v>270305.83137766278</v>
      </c>
      <c r="R33" s="12">
        <f t="shared" si="38"/>
        <v>8992.766537129206</v>
      </c>
      <c r="S33" s="12">
        <f t="shared" si="39"/>
        <v>126107.86562532352</v>
      </c>
      <c r="T33" s="12">
        <f t="shared" si="40"/>
        <v>3346.1456882341236</v>
      </c>
      <c r="U33" s="12">
        <f t="shared" si="41"/>
        <v>6901.4254819828793</v>
      </c>
      <c r="V33" s="12">
        <f t="shared" si="42"/>
        <v>145348.20333266974</v>
      </c>
      <c r="W33" s="12">
        <f t="shared" si="43"/>
        <v>347580.88336531958</v>
      </c>
      <c r="X33" s="12">
        <f t="shared" si="44"/>
        <v>102266.57759665539</v>
      </c>
      <c r="Y33" s="12">
        <f t="shared" si="45"/>
        <v>173685.87462990248</v>
      </c>
      <c r="Z33" s="12">
        <f t="shared" si="46"/>
        <v>5019.2185323511849</v>
      </c>
      <c r="AA33" s="12">
        <f t="shared" si="47"/>
        <v>42872.49163049971</v>
      </c>
      <c r="AB33" s="12">
        <f t="shared" si="48"/>
        <v>0</v>
      </c>
      <c r="AC33" s="12">
        <f t="shared" si="48"/>
        <v>0</v>
      </c>
      <c r="AD33" s="12">
        <f t="shared" si="49"/>
        <v>24677.824450726661</v>
      </c>
      <c r="AE33" s="12">
        <f t="shared" si="27"/>
        <v>67550.316081226367</v>
      </c>
      <c r="AF33" s="12">
        <f t="shared" si="50"/>
        <v>12861.747489149913</v>
      </c>
      <c r="AG33" s="8">
        <f t="shared" si="51"/>
        <v>2542652.4548469051</v>
      </c>
      <c r="AH33" s="8">
        <f t="shared" si="52"/>
        <v>83549.075153095182</v>
      </c>
    </row>
    <row r="34" spans="1:34" x14ac:dyDescent="0.55000000000000004">
      <c r="A34" s="9">
        <v>28</v>
      </c>
      <c r="B34" s="10" t="s">
        <v>41</v>
      </c>
      <c r="C34" s="9" t="s">
        <v>48</v>
      </c>
      <c r="D34" s="11">
        <v>48988</v>
      </c>
      <c r="E34" s="11">
        <v>38520</v>
      </c>
      <c r="F34" s="11">
        <f t="shared" si="0"/>
        <v>87508</v>
      </c>
      <c r="G34" s="12">
        <f t="shared" si="28"/>
        <v>12888.397053553654</v>
      </c>
      <c r="H34" s="12">
        <f t="shared" si="29"/>
        <v>10867.507545291659</v>
      </c>
      <c r="I34" s="12">
        <f t="shared" si="30"/>
        <v>0</v>
      </c>
      <c r="J34" s="12">
        <f t="shared" si="31"/>
        <v>9334.4189528170409</v>
      </c>
      <c r="K34" s="12">
        <f t="shared" si="32"/>
        <v>33090.323551662354</v>
      </c>
      <c r="L34" s="12">
        <f t="shared" si="33"/>
        <v>12431.954768066893</v>
      </c>
      <c r="M34" s="12">
        <f t="shared" si="34"/>
        <v>0</v>
      </c>
      <c r="N34" s="12">
        <f t="shared" si="34"/>
        <v>0</v>
      </c>
      <c r="O34" s="12">
        <f t="shared" si="35"/>
        <v>1728.208958789568</v>
      </c>
      <c r="P34" s="12">
        <f t="shared" si="36"/>
        <v>14160.163726856461</v>
      </c>
      <c r="Q34" s="12">
        <f t="shared" si="37"/>
        <v>9006.8954807883729</v>
      </c>
      <c r="R34" s="12">
        <f t="shared" si="38"/>
        <v>299.64913398367509</v>
      </c>
      <c r="S34" s="12">
        <f t="shared" si="39"/>
        <v>4202.0564602826998</v>
      </c>
      <c r="T34" s="12">
        <f t="shared" si="40"/>
        <v>111.49735217997213</v>
      </c>
      <c r="U34" s="12">
        <f t="shared" si="41"/>
        <v>229.9632888711925</v>
      </c>
      <c r="V34" s="12">
        <f t="shared" si="42"/>
        <v>4843.1662353175388</v>
      </c>
      <c r="W34" s="12">
        <f t="shared" si="43"/>
        <v>11581.787457694605</v>
      </c>
      <c r="X34" s="12">
        <f t="shared" si="44"/>
        <v>3407.637826000398</v>
      </c>
      <c r="Y34" s="12">
        <f t="shared" si="45"/>
        <v>5787.4094365916781</v>
      </c>
      <c r="Z34" s="12">
        <f t="shared" si="46"/>
        <v>167.2460282699582</v>
      </c>
      <c r="AA34" s="12">
        <f t="shared" si="47"/>
        <v>1428.559824805893</v>
      </c>
      <c r="AB34" s="12">
        <f t="shared" si="48"/>
        <v>0</v>
      </c>
      <c r="AC34" s="12">
        <f t="shared" si="48"/>
        <v>0</v>
      </c>
      <c r="AD34" s="12">
        <f t="shared" si="49"/>
        <v>822.29297232729448</v>
      </c>
      <c r="AE34" s="12">
        <f t="shared" si="27"/>
        <v>2250.8527971331873</v>
      </c>
      <c r="AF34" s="12">
        <f t="shared" si="50"/>
        <v>428.56794744176784</v>
      </c>
      <c r="AG34" s="8">
        <f t="shared" si="51"/>
        <v>84724.050487756336</v>
      </c>
      <c r="AH34" s="8">
        <f t="shared" si="52"/>
        <v>2783.9495122436638</v>
      </c>
    </row>
    <row r="35" spans="1:34" x14ac:dyDescent="0.55000000000000004">
      <c r="A35" s="9">
        <v>29</v>
      </c>
      <c r="B35" s="10" t="s">
        <v>26</v>
      </c>
      <c r="C35" s="9" t="s">
        <v>48</v>
      </c>
      <c r="D35" s="11">
        <f>18945+299701.25+788440</f>
        <v>1107086.25</v>
      </c>
      <c r="E35" s="11">
        <v>398043.51</v>
      </c>
      <c r="F35" s="11">
        <f t="shared" si="0"/>
        <v>1505129.76</v>
      </c>
      <c r="G35" s="12">
        <f t="shared" si="28"/>
        <v>221679.27462631892</v>
      </c>
      <c r="H35" s="12">
        <f t="shared" si="29"/>
        <v>186920.15613935894</v>
      </c>
      <c r="I35" s="12">
        <f t="shared" si="30"/>
        <v>0</v>
      </c>
      <c r="J35" s="12">
        <f t="shared" si="31"/>
        <v>160551.1697009755</v>
      </c>
      <c r="K35" s="12">
        <f t="shared" si="32"/>
        <v>569150.60046665336</v>
      </c>
      <c r="L35" s="12">
        <f t="shared" si="33"/>
        <v>213828.50820943661</v>
      </c>
      <c r="M35" s="12">
        <f t="shared" si="34"/>
        <v>0</v>
      </c>
      <c r="N35" s="12">
        <f t="shared" si="34"/>
        <v>0</v>
      </c>
      <c r="O35" s="12">
        <f t="shared" si="35"/>
        <v>29725.039257814056</v>
      </c>
      <c r="P35" s="12">
        <f t="shared" si="36"/>
        <v>243553.54746725067</v>
      </c>
      <c r="Q35" s="12">
        <f t="shared" si="37"/>
        <v>154917.7953255027</v>
      </c>
      <c r="R35" s="12">
        <f t="shared" si="38"/>
        <v>5153.9382584113082</v>
      </c>
      <c r="S35" s="12">
        <f t="shared" si="39"/>
        <v>72274.99464702369</v>
      </c>
      <c r="T35" s="12">
        <f t="shared" si="40"/>
        <v>1917.7444682460682</v>
      </c>
      <c r="U35" s="12">
        <f t="shared" si="41"/>
        <v>3955.3479657575153</v>
      </c>
      <c r="V35" s="12">
        <f t="shared" si="42"/>
        <v>83302.02533943858</v>
      </c>
      <c r="W35" s="12">
        <f t="shared" si="43"/>
        <v>199205.70663906031</v>
      </c>
      <c r="X35" s="12">
        <f t="shared" si="44"/>
        <v>58611.065310770457</v>
      </c>
      <c r="Y35" s="12">
        <f t="shared" si="45"/>
        <v>99542.92380489748</v>
      </c>
      <c r="Z35" s="12">
        <f t="shared" si="46"/>
        <v>2876.6167023691023</v>
      </c>
      <c r="AA35" s="12">
        <f t="shared" si="47"/>
        <v>24571.100999402748</v>
      </c>
      <c r="AB35" s="12">
        <f t="shared" si="48"/>
        <v>0</v>
      </c>
      <c r="AC35" s="12">
        <f t="shared" si="48"/>
        <v>0</v>
      </c>
      <c r="AD35" s="12">
        <f t="shared" si="49"/>
        <v>14143.365453314753</v>
      </c>
      <c r="AE35" s="12">
        <f t="shared" si="27"/>
        <v>38714.466452717505</v>
      </c>
      <c r="AF35" s="12">
        <f t="shared" si="50"/>
        <v>7371.3302998208237</v>
      </c>
      <c r="AG35" s="8">
        <f t="shared" si="51"/>
        <v>1457246.0778084812</v>
      </c>
      <c r="AH35" s="8">
        <f t="shared" si="52"/>
        <v>47883.682191518834</v>
      </c>
    </row>
    <row r="36" spans="1:34" x14ac:dyDescent="0.55000000000000004">
      <c r="A36" s="9">
        <v>31</v>
      </c>
      <c r="B36" s="10" t="s">
        <v>27</v>
      </c>
      <c r="C36" s="9" t="s">
        <v>48</v>
      </c>
      <c r="D36" s="11">
        <v>1160834.51</v>
      </c>
      <c r="E36" s="11">
        <v>6600</v>
      </c>
      <c r="F36" s="11">
        <f t="shared" si="0"/>
        <v>1167434.51</v>
      </c>
      <c r="G36" s="12">
        <f t="shared" si="28"/>
        <v>171942.67380011943</v>
      </c>
      <c r="H36" s="12">
        <f t="shared" si="29"/>
        <v>144982.21129564007</v>
      </c>
      <c r="I36" s="12">
        <f t="shared" si="30"/>
        <v>0</v>
      </c>
      <c r="J36" s="12">
        <f t="shared" si="31"/>
        <v>124529.44663706947</v>
      </c>
      <c r="K36" s="12">
        <f t="shared" si="32"/>
        <v>441454.33173282898</v>
      </c>
      <c r="L36" s="12">
        <f t="shared" si="33"/>
        <v>165853.32795859047</v>
      </c>
      <c r="M36" s="12">
        <f t="shared" si="34"/>
        <v>0</v>
      </c>
      <c r="N36" s="12">
        <f t="shared" si="34"/>
        <v>0</v>
      </c>
      <c r="O36" s="12">
        <f t="shared" si="35"/>
        <v>23055.843796934103</v>
      </c>
      <c r="P36" s="12">
        <f t="shared" si="36"/>
        <v>188909.17175552459</v>
      </c>
      <c r="Q36" s="12">
        <f t="shared" si="37"/>
        <v>120159.99236910212</v>
      </c>
      <c r="R36" s="12">
        <f t="shared" si="38"/>
        <v>3997.5858196297036</v>
      </c>
      <c r="S36" s="12">
        <f t="shared" si="39"/>
        <v>56059.168586900254</v>
      </c>
      <c r="T36" s="12">
        <f t="shared" si="40"/>
        <v>1487.4737933505874</v>
      </c>
      <c r="U36" s="12">
        <f t="shared" si="41"/>
        <v>3067.9146987855861</v>
      </c>
      <c r="V36" s="12">
        <f t="shared" si="42"/>
        <v>64612.142898666134</v>
      </c>
      <c r="W36" s="12">
        <f t="shared" si="43"/>
        <v>154511.34028429227</v>
      </c>
      <c r="X36" s="12">
        <f t="shared" si="44"/>
        <v>45460.917809277322</v>
      </c>
      <c r="Y36" s="12">
        <f t="shared" si="45"/>
        <v>77209.186586103926</v>
      </c>
      <c r="Z36" s="12">
        <f t="shared" si="46"/>
        <v>2231.2106900258809</v>
      </c>
      <c r="AA36" s="12">
        <f t="shared" si="47"/>
        <v>19058.257977304402</v>
      </c>
      <c r="AB36" s="12">
        <f t="shared" si="48"/>
        <v>0</v>
      </c>
      <c r="AC36" s="12">
        <f t="shared" si="48"/>
        <v>0</v>
      </c>
      <c r="AD36" s="12">
        <f t="shared" si="49"/>
        <v>10970.119225960581</v>
      </c>
      <c r="AE36" s="12">
        <f t="shared" si="27"/>
        <v>30028.377203264983</v>
      </c>
      <c r="AF36" s="12">
        <f t="shared" si="50"/>
        <v>5717.4773931913196</v>
      </c>
      <c r="AG36" s="8">
        <f t="shared" si="51"/>
        <v>1130294.1487222775</v>
      </c>
      <c r="AH36" s="8">
        <f t="shared" si="52"/>
        <v>37140.361277722521</v>
      </c>
    </row>
    <row r="37" spans="1:34" x14ac:dyDescent="0.55000000000000004">
      <c r="A37" s="9">
        <v>32</v>
      </c>
      <c r="B37" s="10" t="s">
        <v>28</v>
      </c>
      <c r="C37" s="9" t="s">
        <v>48</v>
      </c>
      <c r="D37" s="11"/>
      <c r="E37" s="11"/>
      <c r="F37" s="11">
        <f t="shared" si="0"/>
        <v>0</v>
      </c>
      <c r="G37" s="12">
        <f t="shared" si="28"/>
        <v>0</v>
      </c>
      <c r="H37" s="12">
        <f t="shared" si="29"/>
        <v>0</v>
      </c>
      <c r="I37" s="12">
        <f t="shared" si="30"/>
        <v>0</v>
      </c>
      <c r="J37" s="12">
        <f t="shared" si="31"/>
        <v>0</v>
      </c>
      <c r="K37" s="12">
        <f t="shared" si="32"/>
        <v>0</v>
      </c>
      <c r="L37" s="12">
        <f t="shared" si="33"/>
        <v>0</v>
      </c>
      <c r="M37" s="12">
        <f t="shared" si="34"/>
        <v>0</v>
      </c>
      <c r="N37" s="12">
        <f t="shared" si="34"/>
        <v>0</v>
      </c>
      <c r="O37" s="12">
        <f t="shared" si="35"/>
        <v>0</v>
      </c>
      <c r="P37" s="12">
        <f t="shared" si="36"/>
        <v>0</v>
      </c>
      <c r="Q37" s="12">
        <f t="shared" si="37"/>
        <v>0</v>
      </c>
      <c r="R37" s="12">
        <f t="shared" si="38"/>
        <v>0</v>
      </c>
      <c r="S37" s="12">
        <f t="shared" si="39"/>
        <v>0</v>
      </c>
      <c r="T37" s="12">
        <f t="shared" si="40"/>
        <v>0</v>
      </c>
      <c r="U37" s="12">
        <f t="shared" si="41"/>
        <v>0</v>
      </c>
      <c r="V37" s="12">
        <f t="shared" si="42"/>
        <v>0</v>
      </c>
      <c r="W37" s="12">
        <f t="shared" si="43"/>
        <v>0</v>
      </c>
      <c r="X37" s="12">
        <f t="shared" si="44"/>
        <v>0</v>
      </c>
      <c r="Y37" s="12">
        <f t="shared" si="45"/>
        <v>0</v>
      </c>
      <c r="Z37" s="12">
        <f t="shared" si="46"/>
        <v>0</v>
      </c>
      <c r="AA37" s="12">
        <f t="shared" si="47"/>
        <v>0</v>
      </c>
      <c r="AB37" s="12">
        <f t="shared" si="48"/>
        <v>0</v>
      </c>
      <c r="AC37" s="12">
        <f t="shared" si="48"/>
        <v>0</v>
      </c>
      <c r="AD37" s="12">
        <f t="shared" si="49"/>
        <v>0</v>
      </c>
      <c r="AE37" s="12">
        <f t="shared" si="27"/>
        <v>0</v>
      </c>
      <c r="AF37" s="12">
        <f t="shared" si="50"/>
        <v>0</v>
      </c>
      <c r="AG37" s="8">
        <f t="shared" si="51"/>
        <v>0</v>
      </c>
      <c r="AH37" s="8">
        <f t="shared" si="52"/>
        <v>0</v>
      </c>
    </row>
    <row r="38" spans="1:34" s="29" customFormat="1" x14ac:dyDescent="0.55000000000000004">
      <c r="A38" s="24">
        <v>33</v>
      </c>
      <c r="B38" s="25" t="s">
        <v>29</v>
      </c>
      <c r="C38" s="24" t="s">
        <v>37</v>
      </c>
      <c r="D38" s="26">
        <v>18861429.940000001</v>
      </c>
      <c r="E38" s="26">
        <v>9366993.6300000008</v>
      </c>
      <c r="F38" s="26">
        <f t="shared" si="0"/>
        <v>28228423.57</v>
      </c>
      <c r="G38" s="27">
        <f>+F38*8809.94/577917.31</f>
        <v>430322.3205864621</v>
      </c>
      <c r="H38" s="27">
        <f>+F38*1545/577917.31</f>
        <v>75465.665521681629</v>
      </c>
      <c r="I38" s="27">
        <v>0</v>
      </c>
      <c r="J38" s="27">
        <f>+F38*11845/577917.31</f>
        <v>578570.10233289259</v>
      </c>
      <c r="K38" s="27">
        <f>SUM(G38:J38)</f>
        <v>1084358.0884410362</v>
      </c>
      <c r="L38" s="27">
        <f>+F38*27639.3/577917.31</f>
        <v>1350044.12236467</v>
      </c>
      <c r="M38" s="27">
        <v>0</v>
      </c>
      <c r="N38" s="27">
        <v>0</v>
      </c>
      <c r="O38" s="27">
        <f>+F38*2880/577917.31</f>
        <v>140673.86194332887</v>
      </c>
      <c r="P38" s="27">
        <f>SUM(L38:O38)</f>
        <v>1490717.9843079988</v>
      </c>
      <c r="Q38" s="27">
        <f>+F38*27064.87/577917.31</f>
        <v>1321986.0367687996</v>
      </c>
      <c r="R38" s="27">
        <v>0</v>
      </c>
      <c r="S38" s="27">
        <f>+F38*2801/577917.31</f>
        <v>136815.09975807785</v>
      </c>
      <c r="T38" s="27">
        <f>+F38*346.98/577917.31</f>
        <v>16948.269658713976</v>
      </c>
      <c r="U38" s="27">
        <v>0</v>
      </c>
      <c r="V38" s="27">
        <f>SUM(R38:U38)</f>
        <v>153763.36941679183</v>
      </c>
      <c r="W38" s="27">
        <f>+F38*2154.89/577917.31</f>
        <v>105255.79804272913</v>
      </c>
      <c r="X38" s="27">
        <f>+F38*16757/577917.31</f>
        <v>818497.18909179233</v>
      </c>
      <c r="Y38" s="27">
        <f>+F38*22551/577917.31</f>
        <v>1101505.6460708366</v>
      </c>
      <c r="Z38" s="27">
        <f>+G38*22551/577917.31</f>
        <v>16791.673278561782</v>
      </c>
      <c r="AA38" s="27">
        <f>+F38*5835.58/577917.31</f>
        <v>285039.43586085108</v>
      </c>
      <c r="AB38" s="27">
        <v>0</v>
      </c>
      <c r="AC38" s="27">
        <v>0</v>
      </c>
      <c r="AD38" s="27">
        <v>0</v>
      </c>
      <c r="AE38" s="27">
        <f t="shared" si="27"/>
        <v>285039.43586085108</v>
      </c>
      <c r="AF38" s="27">
        <f>+F38*5835.58/577917.31</f>
        <v>285039.43586085108</v>
      </c>
      <c r="AG38" s="28">
        <f>+K38+P38+Q38+V38+W38+X38+Y38++AE38+AF38</f>
        <v>6646162.9838616867</v>
      </c>
      <c r="AH38" s="28">
        <f>+F38-AG38</f>
        <v>21582260.586138315</v>
      </c>
    </row>
    <row r="39" spans="1:34" x14ac:dyDescent="0.55000000000000004">
      <c r="A39" s="9">
        <v>34</v>
      </c>
      <c r="B39" s="10" t="s">
        <v>30</v>
      </c>
      <c r="C39" s="34" t="s">
        <v>64</v>
      </c>
      <c r="D39" s="11">
        <v>5220557.5599999996</v>
      </c>
      <c r="E39" s="11">
        <v>490671.98</v>
      </c>
      <c r="F39" s="11">
        <f t="shared" si="0"/>
        <v>5711229.5399999991</v>
      </c>
      <c r="G39" s="12">
        <f t="shared" ref="G39:G51" si="53">$F39*1849.5/12557.5</f>
        <v>841164.16756758885</v>
      </c>
      <c r="H39" s="12">
        <f t="shared" ref="H39:H51" si="54">$F39*1559.5/12557.5</f>
        <v>709270.35378299817</v>
      </c>
      <c r="I39" s="12">
        <f t="shared" ref="I39:I51" si="55">$F39*0/12557.5</f>
        <v>0</v>
      </c>
      <c r="J39" s="12">
        <f t="shared" ref="J39:J51" si="56">$F39*1339.5/12557.5</f>
        <v>609212.97780848085</v>
      </c>
      <c r="K39" s="12">
        <f t="shared" ref="K39:K51" si="57">SUM(G39:J39)</f>
        <v>2159647.4991590679</v>
      </c>
      <c r="L39" s="12">
        <f t="shared" ref="L39:L51" si="58">$F39*1784/12557.5</f>
        <v>811374.35790244862</v>
      </c>
      <c r="M39" s="12">
        <f t="shared" ref="M39:N51" si="59">$F39*0/12557.5</f>
        <v>0</v>
      </c>
      <c r="N39" s="12">
        <f t="shared" si="59"/>
        <v>0</v>
      </c>
      <c r="O39" s="12">
        <f t="shared" ref="O39:O51" si="60">$F39*248/12557.5</f>
        <v>112791.95109854668</v>
      </c>
      <c r="P39" s="12">
        <f t="shared" ref="P39:P51" si="61">SUM(L39:O39)</f>
        <v>924166.30900099524</v>
      </c>
      <c r="Q39" s="12">
        <f t="shared" ref="Q39:Q51" si="62">$F39*1292.5/12557.5</f>
        <v>587837.08385028853</v>
      </c>
      <c r="R39" s="12">
        <f t="shared" ref="R39:R51" si="63">$F39*43/12557.5</f>
        <v>19556.668940473817</v>
      </c>
      <c r="S39" s="12">
        <f t="shared" ref="S39:S51" si="64">$F39*603/12557.5</f>
        <v>274248.17142106307</v>
      </c>
      <c r="T39" s="12">
        <f t="shared" ref="T39:T51" si="65">$F39*16/12557.5</f>
        <v>7276.9000708739786</v>
      </c>
      <c r="U39" s="12">
        <f t="shared" ref="U39:U51" si="66">$F39*33/12557.5</f>
        <v>15008.60639617758</v>
      </c>
      <c r="V39" s="12">
        <f t="shared" ref="V39:V51" si="67">SUM(R39:U39)</f>
        <v>316090.3468285884</v>
      </c>
      <c r="W39" s="12">
        <f t="shared" ref="W39:W51" si="68">$F39*1662/12557.5</f>
        <v>755887.99486203445</v>
      </c>
      <c r="X39" s="12">
        <f t="shared" ref="X39:X51" si="69">$F39*489/12557.5</f>
        <v>222400.25841608597</v>
      </c>
      <c r="Y39" s="12">
        <f t="shared" ref="Y39:Y51" si="70">$F39*830.5/12557.5</f>
        <v>377716.59430380247</v>
      </c>
      <c r="Z39" s="12">
        <f t="shared" ref="Z39:Z51" si="71">$F39*24/12557.5</f>
        <v>10915.350106310967</v>
      </c>
      <c r="AA39" s="12">
        <f t="shared" ref="AA39:AA51" si="72">$F39*205/12557.5</f>
        <v>93235.282158072849</v>
      </c>
      <c r="AB39" s="12">
        <f t="shared" ref="AB39:AC51" si="73">$F39*0/12557.5</f>
        <v>0</v>
      </c>
      <c r="AC39" s="12">
        <f t="shared" si="73"/>
        <v>0</v>
      </c>
      <c r="AD39" s="12">
        <f t="shared" ref="AD39:AD51" si="74">$F39*118/12557.5</f>
        <v>53667.138022695595</v>
      </c>
      <c r="AE39" s="12">
        <f t="shared" si="27"/>
        <v>146902.42018076844</v>
      </c>
      <c r="AF39" s="12">
        <f t="shared" ref="AF39:AF51" si="75">$F39*61.5/12557.5</f>
        <v>27970.584647421852</v>
      </c>
      <c r="AG39" s="8">
        <f t="shared" ref="AG39:AG47" si="76">+K39+P39+Q39+V39+W39+X39+Y39+AE39+AF39+Z39</f>
        <v>5529534.4413553644</v>
      </c>
      <c r="AH39" s="8">
        <f t="shared" ref="AH39:AH47" si="77">+F39-AG39</f>
        <v>181695.09864463471</v>
      </c>
    </row>
    <row r="40" spans="1:34" x14ac:dyDescent="0.55000000000000004">
      <c r="A40" s="9">
        <v>35</v>
      </c>
      <c r="B40" s="10" t="s">
        <v>31</v>
      </c>
      <c r="C40" s="9" t="s">
        <v>48</v>
      </c>
      <c r="D40" s="11">
        <v>828068.16</v>
      </c>
      <c r="E40" s="11">
        <v>37443.440000000002</v>
      </c>
      <c r="F40" s="11">
        <f t="shared" si="0"/>
        <v>865511.60000000009</v>
      </c>
      <c r="G40" s="12">
        <f t="shared" si="53"/>
        <v>127474.71265777426</v>
      </c>
      <c r="H40" s="12">
        <f t="shared" si="54"/>
        <v>107486.7879912403</v>
      </c>
      <c r="I40" s="12">
        <f t="shared" si="55"/>
        <v>0</v>
      </c>
      <c r="J40" s="12">
        <f t="shared" si="56"/>
        <v>92323.534795938685</v>
      </c>
      <c r="K40" s="12">
        <f t="shared" si="57"/>
        <v>327285.03544495325</v>
      </c>
      <c r="L40" s="12">
        <f t="shared" si="58"/>
        <v>122960.19863826399</v>
      </c>
      <c r="M40" s="12">
        <f t="shared" si="59"/>
        <v>0</v>
      </c>
      <c r="N40" s="12">
        <f t="shared" si="59"/>
        <v>0</v>
      </c>
      <c r="O40" s="12">
        <f t="shared" si="60"/>
        <v>17093.121783794548</v>
      </c>
      <c r="P40" s="12">
        <f t="shared" si="61"/>
        <v>140053.32042205855</v>
      </c>
      <c r="Q40" s="12">
        <f t="shared" si="62"/>
        <v>89084.112522396987</v>
      </c>
      <c r="R40" s="12">
        <f t="shared" si="63"/>
        <v>2963.7267608998609</v>
      </c>
      <c r="S40" s="12">
        <f t="shared" si="64"/>
        <v>41561.098530758514</v>
      </c>
      <c r="T40" s="12">
        <f t="shared" si="65"/>
        <v>1102.7820505673901</v>
      </c>
      <c r="U40" s="12">
        <f t="shared" si="66"/>
        <v>2274.4879792952424</v>
      </c>
      <c r="V40" s="12">
        <f t="shared" si="67"/>
        <v>47902.095321521003</v>
      </c>
      <c r="W40" s="12">
        <f t="shared" si="68"/>
        <v>114551.48550268765</v>
      </c>
      <c r="X40" s="12">
        <f t="shared" si="69"/>
        <v>33703.77642046586</v>
      </c>
      <c r="Y40" s="12">
        <f t="shared" si="70"/>
        <v>57241.280812263591</v>
      </c>
      <c r="Z40" s="12">
        <f t="shared" si="71"/>
        <v>1654.1730758510853</v>
      </c>
      <c r="AA40" s="12">
        <f t="shared" si="72"/>
        <v>14129.395022894687</v>
      </c>
      <c r="AB40" s="12">
        <f t="shared" si="73"/>
        <v>0</v>
      </c>
      <c r="AC40" s="12">
        <f t="shared" si="73"/>
        <v>0</v>
      </c>
      <c r="AD40" s="12">
        <f t="shared" si="74"/>
        <v>8133.0176229345025</v>
      </c>
      <c r="AE40" s="12">
        <f t="shared" si="27"/>
        <v>22262.41264582919</v>
      </c>
      <c r="AF40" s="12">
        <f t="shared" si="75"/>
        <v>4238.8185068684061</v>
      </c>
      <c r="AG40" s="8">
        <f t="shared" si="76"/>
        <v>837976.5106748956</v>
      </c>
      <c r="AH40" s="8">
        <f t="shared" si="77"/>
        <v>27535.089325104491</v>
      </c>
    </row>
    <row r="41" spans="1:34" x14ac:dyDescent="0.55000000000000004">
      <c r="A41" s="9">
        <v>36</v>
      </c>
      <c r="B41" s="10" t="s">
        <v>32</v>
      </c>
      <c r="C41" s="9" t="s">
        <v>48</v>
      </c>
      <c r="D41" s="11">
        <v>1615560</v>
      </c>
      <c r="E41" s="11"/>
      <c r="F41" s="11">
        <f t="shared" si="0"/>
        <v>1615560</v>
      </c>
      <c r="G41" s="12">
        <f t="shared" si="53"/>
        <v>237943.71650408124</v>
      </c>
      <c r="H41" s="12">
        <f t="shared" si="54"/>
        <v>200634.34760103523</v>
      </c>
      <c r="I41" s="12">
        <f t="shared" si="55"/>
        <v>0</v>
      </c>
      <c r="J41" s="12">
        <f t="shared" si="56"/>
        <v>172330.68843320725</v>
      </c>
      <c r="K41" s="12">
        <f t="shared" si="57"/>
        <v>610908.75253832375</v>
      </c>
      <c r="L41" s="12">
        <f t="shared" si="58"/>
        <v>229516.94525184153</v>
      </c>
      <c r="M41" s="12">
        <f t="shared" si="59"/>
        <v>0</v>
      </c>
      <c r="N41" s="12">
        <f t="shared" si="59"/>
        <v>0</v>
      </c>
      <c r="O41" s="12">
        <f t="shared" si="60"/>
        <v>31905.94306191519</v>
      </c>
      <c r="P41" s="12">
        <f t="shared" si="61"/>
        <v>261422.88831375673</v>
      </c>
      <c r="Q41" s="12">
        <f t="shared" si="62"/>
        <v>166283.99761098943</v>
      </c>
      <c r="R41" s="12">
        <f t="shared" si="63"/>
        <v>5532.0788373481982</v>
      </c>
      <c r="S41" s="12">
        <f t="shared" si="64"/>
        <v>77577.756719092169</v>
      </c>
      <c r="T41" s="12">
        <f t="shared" si="65"/>
        <v>2058.4479394783993</v>
      </c>
      <c r="U41" s="12">
        <f t="shared" si="66"/>
        <v>4245.5488751741987</v>
      </c>
      <c r="V41" s="12">
        <f t="shared" si="67"/>
        <v>89413.832371092954</v>
      </c>
      <c r="W41" s="12">
        <f t="shared" si="68"/>
        <v>213821.27971331874</v>
      </c>
      <c r="X41" s="12">
        <f t="shared" si="69"/>
        <v>62911.315150308583</v>
      </c>
      <c r="Y41" s="12">
        <f t="shared" si="70"/>
        <v>106846.31335855067</v>
      </c>
      <c r="Z41" s="12">
        <f t="shared" si="71"/>
        <v>3087.671909217599</v>
      </c>
      <c r="AA41" s="12">
        <f t="shared" si="72"/>
        <v>26373.864224566991</v>
      </c>
      <c r="AB41" s="12">
        <f t="shared" si="73"/>
        <v>0</v>
      </c>
      <c r="AC41" s="12">
        <f t="shared" si="73"/>
        <v>0</v>
      </c>
      <c r="AD41" s="12">
        <f t="shared" si="74"/>
        <v>15181.053553653195</v>
      </c>
      <c r="AE41" s="12">
        <f t="shared" si="27"/>
        <v>41554.917778220188</v>
      </c>
      <c r="AF41" s="12">
        <f t="shared" si="75"/>
        <v>7912.159267370098</v>
      </c>
      <c r="AG41" s="8">
        <f t="shared" si="76"/>
        <v>1564163.1280111487</v>
      </c>
      <c r="AH41" s="8">
        <f t="shared" si="77"/>
        <v>51396.871988851344</v>
      </c>
    </row>
    <row r="42" spans="1:34" x14ac:dyDescent="0.55000000000000004">
      <c r="A42" s="9">
        <v>37</v>
      </c>
      <c r="B42" s="10" t="s">
        <v>33</v>
      </c>
      <c r="C42" s="9" t="s">
        <v>48</v>
      </c>
      <c r="D42" s="11">
        <v>573160</v>
      </c>
      <c r="E42" s="11">
        <v>41272</v>
      </c>
      <c r="F42" s="11">
        <f t="shared" si="0"/>
        <v>614432</v>
      </c>
      <c r="G42" s="12">
        <f t="shared" si="53"/>
        <v>90495.081345809274</v>
      </c>
      <c r="H42" s="12">
        <f t="shared" si="54"/>
        <v>76305.530877961384</v>
      </c>
      <c r="I42" s="12">
        <f t="shared" si="55"/>
        <v>0</v>
      </c>
      <c r="J42" s="12">
        <f t="shared" si="56"/>
        <v>65541.044316145722</v>
      </c>
      <c r="K42" s="12">
        <f t="shared" si="57"/>
        <v>232341.65653991635</v>
      </c>
      <c r="L42" s="12">
        <f t="shared" si="58"/>
        <v>87290.200119450528</v>
      </c>
      <c r="M42" s="12">
        <f t="shared" si="59"/>
        <v>0</v>
      </c>
      <c r="N42" s="12">
        <f t="shared" si="59"/>
        <v>0</v>
      </c>
      <c r="O42" s="12">
        <f t="shared" si="60"/>
        <v>12134.51212422855</v>
      </c>
      <c r="P42" s="12">
        <f t="shared" si="61"/>
        <v>99424.712243679081</v>
      </c>
      <c r="Q42" s="12">
        <f t="shared" si="62"/>
        <v>63241.358550666933</v>
      </c>
      <c r="R42" s="12">
        <f t="shared" si="63"/>
        <v>2103.9678279912405</v>
      </c>
      <c r="S42" s="12">
        <f t="shared" si="64"/>
        <v>29504.479076249252</v>
      </c>
      <c r="T42" s="12">
        <f t="shared" si="65"/>
        <v>782.87174995022895</v>
      </c>
      <c r="U42" s="12">
        <f t="shared" si="66"/>
        <v>1614.6729842723471</v>
      </c>
      <c r="V42" s="12">
        <f t="shared" si="67"/>
        <v>34005.991638463063</v>
      </c>
      <c r="W42" s="12">
        <f t="shared" si="68"/>
        <v>81320.80302608003</v>
      </c>
      <c r="X42" s="12">
        <f t="shared" si="69"/>
        <v>23926.517857853873</v>
      </c>
      <c r="Y42" s="12">
        <f t="shared" si="70"/>
        <v>40635.936770854074</v>
      </c>
      <c r="Z42" s="12">
        <f t="shared" si="71"/>
        <v>1174.3076249253434</v>
      </c>
      <c r="AA42" s="12">
        <f t="shared" si="72"/>
        <v>10030.544296237309</v>
      </c>
      <c r="AB42" s="12">
        <f t="shared" si="73"/>
        <v>0</v>
      </c>
      <c r="AC42" s="12">
        <f t="shared" si="73"/>
        <v>0</v>
      </c>
      <c r="AD42" s="12">
        <f t="shared" si="74"/>
        <v>5773.6791558829382</v>
      </c>
      <c r="AE42" s="12">
        <f t="shared" si="27"/>
        <v>15804.223452120248</v>
      </c>
      <c r="AF42" s="12">
        <f t="shared" si="75"/>
        <v>3009.1632888711924</v>
      </c>
      <c r="AG42" s="8">
        <f t="shared" si="76"/>
        <v>594884.67099343019</v>
      </c>
      <c r="AH42" s="8">
        <f t="shared" si="77"/>
        <v>19547.329006569809</v>
      </c>
    </row>
    <row r="43" spans="1:34" x14ac:dyDescent="0.55000000000000004">
      <c r="A43" s="9">
        <v>38</v>
      </c>
      <c r="B43" s="10" t="s">
        <v>44</v>
      </c>
      <c r="C43" s="9" t="s">
        <v>48</v>
      </c>
      <c r="D43" s="11"/>
      <c r="E43" s="11"/>
      <c r="F43" s="11">
        <f t="shared" si="0"/>
        <v>0</v>
      </c>
      <c r="G43" s="12">
        <f t="shared" si="53"/>
        <v>0</v>
      </c>
      <c r="H43" s="12">
        <f t="shared" si="54"/>
        <v>0</v>
      </c>
      <c r="I43" s="12">
        <f t="shared" si="55"/>
        <v>0</v>
      </c>
      <c r="J43" s="12">
        <f t="shared" si="56"/>
        <v>0</v>
      </c>
      <c r="K43" s="12">
        <f t="shared" si="57"/>
        <v>0</v>
      </c>
      <c r="L43" s="12">
        <f t="shared" si="58"/>
        <v>0</v>
      </c>
      <c r="M43" s="12">
        <f t="shared" si="59"/>
        <v>0</v>
      </c>
      <c r="N43" s="12">
        <f t="shared" si="59"/>
        <v>0</v>
      </c>
      <c r="O43" s="12">
        <f t="shared" si="60"/>
        <v>0</v>
      </c>
      <c r="P43" s="12">
        <f t="shared" si="61"/>
        <v>0</v>
      </c>
      <c r="Q43" s="12">
        <f t="shared" si="62"/>
        <v>0</v>
      </c>
      <c r="R43" s="12">
        <f t="shared" si="63"/>
        <v>0</v>
      </c>
      <c r="S43" s="12">
        <f t="shared" si="64"/>
        <v>0</v>
      </c>
      <c r="T43" s="12">
        <f t="shared" si="65"/>
        <v>0</v>
      </c>
      <c r="U43" s="12">
        <f t="shared" si="66"/>
        <v>0</v>
      </c>
      <c r="V43" s="12">
        <f t="shared" si="67"/>
        <v>0</v>
      </c>
      <c r="W43" s="12">
        <f t="shared" si="68"/>
        <v>0</v>
      </c>
      <c r="X43" s="12">
        <f t="shared" si="69"/>
        <v>0</v>
      </c>
      <c r="Y43" s="12">
        <f t="shared" si="70"/>
        <v>0</v>
      </c>
      <c r="Z43" s="12">
        <f t="shared" si="71"/>
        <v>0</v>
      </c>
      <c r="AA43" s="12">
        <f t="shared" si="72"/>
        <v>0</v>
      </c>
      <c r="AB43" s="12">
        <f t="shared" si="73"/>
        <v>0</v>
      </c>
      <c r="AC43" s="12">
        <f t="shared" si="73"/>
        <v>0</v>
      </c>
      <c r="AD43" s="12">
        <f t="shared" si="74"/>
        <v>0</v>
      </c>
      <c r="AE43" s="12">
        <f t="shared" si="27"/>
        <v>0</v>
      </c>
      <c r="AF43" s="12">
        <f t="shared" si="75"/>
        <v>0</v>
      </c>
      <c r="AG43" s="8">
        <f t="shared" si="76"/>
        <v>0</v>
      </c>
      <c r="AH43" s="8">
        <f t="shared" si="77"/>
        <v>0</v>
      </c>
    </row>
    <row r="44" spans="1:34" x14ac:dyDescent="0.55000000000000004">
      <c r="A44" s="9">
        <v>39</v>
      </c>
      <c r="B44" s="10" t="s">
        <v>34</v>
      </c>
      <c r="C44" s="9" t="s">
        <v>48</v>
      </c>
      <c r="D44" s="11"/>
      <c r="E44" s="11"/>
      <c r="F44" s="11">
        <f t="shared" si="0"/>
        <v>0</v>
      </c>
      <c r="G44" s="12">
        <f t="shared" si="53"/>
        <v>0</v>
      </c>
      <c r="H44" s="12">
        <f t="shared" si="54"/>
        <v>0</v>
      </c>
      <c r="I44" s="12">
        <f t="shared" si="55"/>
        <v>0</v>
      </c>
      <c r="J44" s="12">
        <f t="shared" si="56"/>
        <v>0</v>
      </c>
      <c r="K44" s="12">
        <f t="shared" si="57"/>
        <v>0</v>
      </c>
      <c r="L44" s="12">
        <f t="shared" si="58"/>
        <v>0</v>
      </c>
      <c r="M44" s="12">
        <f t="shared" si="59"/>
        <v>0</v>
      </c>
      <c r="N44" s="12">
        <f t="shared" si="59"/>
        <v>0</v>
      </c>
      <c r="O44" s="12">
        <f t="shared" si="60"/>
        <v>0</v>
      </c>
      <c r="P44" s="12">
        <f t="shared" si="61"/>
        <v>0</v>
      </c>
      <c r="Q44" s="12">
        <f t="shared" si="62"/>
        <v>0</v>
      </c>
      <c r="R44" s="12">
        <f t="shared" si="63"/>
        <v>0</v>
      </c>
      <c r="S44" s="12">
        <f t="shared" si="64"/>
        <v>0</v>
      </c>
      <c r="T44" s="12">
        <f t="shared" si="65"/>
        <v>0</v>
      </c>
      <c r="U44" s="12">
        <f t="shared" si="66"/>
        <v>0</v>
      </c>
      <c r="V44" s="12">
        <f t="shared" si="67"/>
        <v>0</v>
      </c>
      <c r="W44" s="12">
        <f t="shared" si="68"/>
        <v>0</v>
      </c>
      <c r="X44" s="12">
        <f t="shared" si="69"/>
        <v>0</v>
      </c>
      <c r="Y44" s="12">
        <f t="shared" si="70"/>
        <v>0</v>
      </c>
      <c r="Z44" s="12">
        <f t="shared" si="71"/>
        <v>0</v>
      </c>
      <c r="AA44" s="12">
        <f t="shared" si="72"/>
        <v>0</v>
      </c>
      <c r="AB44" s="12">
        <f t="shared" si="73"/>
        <v>0</v>
      </c>
      <c r="AC44" s="12">
        <f t="shared" si="73"/>
        <v>0</v>
      </c>
      <c r="AD44" s="12">
        <f t="shared" si="74"/>
        <v>0</v>
      </c>
      <c r="AE44" s="12">
        <f t="shared" si="27"/>
        <v>0</v>
      </c>
      <c r="AF44" s="12">
        <f t="shared" si="75"/>
        <v>0</v>
      </c>
      <c r="AG44" s="8">
        <f t="shared" si="76"/>
        <v>0</v>
      </c>
      <c r="AH44" s="8">
        <f t="shared" si="77"/>
        <v>0</v>
      </c>
    </row>
    <row r="45" spans="1:34" x14ac:dyDescent="0.55000000000000004">
      <c r="A45" s="9">
        <v>40</v>
      </c>
      <c r="B45" s="10" t="s">
        <v>42</v>
      </c>
      <c r="C45" s="9" t="s">
        <v>48</v>
      </c>
      <c r="D45" s="11">
        <v>10000000</v>
      </c>
      <c r="E45" s="11"/>
      <c r="F45" s="11">
        <f t="shared" si="0"/>
        <v>10000000</v>
      </c>
      <c r="G45" s="12">
        <f t="shared" si="53"/>
        <v>1472825.0049771054</v>
      </c>
      <c r="H45" s="12">
        <f t="shared" si="54"/>
        <v>1241887.3183356561</v>
      </c>
      <c r="I45" s="12">
        <f t="shared" si="55"/>
        <v>0</v>
      </c>
      <c r="J45" s="12">
        <f t="shared" si="56"/>
        <v>1066693.2112283495</v>
      </c>
      <c r="K45" s="12">
        <f t="shared" si="57"/>
        <v>3781405.5345411105</v>
      </c>
      <c r="L45" s="12">
        <f t="shared" si="58"/>
        <v>1420664.9412701572</v>
      </c>
      <c r="M45" s="12">
        <f t="shared" si="59"/>
        <v>0</v>
      </c>
      <c r="N45" s="12">
        <f t="shared" si="59"/>
        <v>0</v>
      </c>
      <c r="O45" s="12">
        <f t="shared" si="60"/>
        <v>197491.53892096356</v>
      </c>
      <c r="P45" s="12">
        <f t="shared" si="61"/>
        <v>1618156.4801911209</v>
      </c>
      <c r="Q45" s="12">
        <f t="shared" si="62"/>
        <v>1029265.3792554251</v>
      </c>
      <c r="R45" s="12">
        <f t="shared" si="63"/>
        <v>34242.484570973524</v>
      </c>
      <c r="S45" s="12">
        <f t="shared" si="64"/>
        <v>480191.12084411707</v>
      </c>
      <c r="T45" s="12">
        <f t="shared" si="65"/>
        <v>12741.389607804102</v>
      </c>
      <c r="U45" s="12">
        <f t="shared" si="66"/>
        <v>26279.116066095958</v>
      </c>
      <c r="V45" s="12">
        <f t="shared" si="67"/>
        <v>553454.1110889907</v>
      </c>
      <c r="W45" s="12">
        <f t="shared" si="68"/>
        <v>1323511.8455106509</v>
      </c>
      <c r="X45" s="12">
        <f t="shared" si="69"/>
        <v>389408.71988851286</v>
      </c>
      <c r="Y45" s="12">
        <f t="shared" si="70"/>
        <v>661357.75433008163</v>
      </c>
      <c r="Z45" s="12">
        <f t="shared" si="71"/>
        <v>19112.084411706153</v>
      </c>
      <c r="AA45" s="12">
        <f t="shared" si="72"/>
        <v>163249.05434999004</v>
      </c>
      <c r="AB45" s="12">
        <f t="shared" si="73"/>
        <v>0</v>
      </c>
      <c r="AC45" s="12">
        <f t="shared" si="73"/>
        <v>0</v>
      </c>
      <c r="AD45" s="12">
        <f t="shared" si="74"/>
        <v>93967.748357555247</v>
      </c>
      <c r="AE45" s="12">
        <f t="shared" si="27"/>
        <v>257216.80270754528</v>
      </c>
      <c r="AF45" s="12">
        <f t="shared" si="75"/>
        <v>48974.716304997011</v>
      </c>
      <c r="AG45" s="8">
        <f t="shared" si="76"/>
        <v>9681863.4282301404</v>
      </c>
      <c r="AH45" s="8">
        <f t="shared" si="77"/>
        <v>318136.57176985964</v>
      </c>
    </row>
    <row r="46" spans="1:34" x14ac:dyDescent="0.55000000000000004">
      <c r="A46" s="9">
        <v>41</v>
      </c>
      <c r="B46" s="10" t="s">
        <v>43</v>
      </c>
      <c r="C46" s="9" t="s">
        <v>48</v>
      </c>
      <c r="D46" s="11">
        <v>694950</v>
      </c>
      <c r="E46" s="11"/>
      <c r="F46" s="11">
        <f t="shared" si="0"/>
        <v>694950</v>
      </c>
      <c r="G46" s="12">
        <f t="shared" si="53"/>
        <v>102353.97372088394</v>
      </c>
      <c r="H46" s="12">
        <f t="shared" si="54"/>
        <v>86304.959187736415</v>
      </c>
      <c r="I46" s="12">
        <f t="shared" si="55"/>
        <v>0</v>
      </c>
      <c r="J46" s="12">
        <f t="shared" si="56"/>
        <v>74129.844714314153</v>
      </c>
      <c r="K46" s="12">
        <f t="shared" si="57"/>
        <v>262788.77762293449</v>
      </c>
      <c r="L46" s="12">
        <f t="shared" si="58"/>
        <v>98729.110093569587</v>
      </c>
      <c r="M46" s="12">
        <f t="shared" si="59"/>
        <v>0</v>
      </c>
      <c r="N46" s="12">
        <f t="shared" si="59"/>
        <v>0</v>
      </c>
      <c r="O46" s="12">
        <f t="shared" si="60"/>
        <v>13724.674497312362</v>
      </c>
      <c r="P46" s="12">
        <f t="shared" si="61"/>
        <v>112453.78459088194</v>
      </c>
      <c r="Q46" s="12">
        <f t="shared" si="62"/>
        <v>71528.797531355769</v>
      </c>
      <c r="R46" s="12">
        <f t="shared" si="63"/>
        <v>2379.681465259805</v>
      </c>
      <c r="S46" s="12">
        <f t="shared" si="64"/>
        <v>33370.881943061919</v>
      </c>
      <c r="T46" s="12">
        <f t="shared" si="65"/>
        <v>885.46287079434603</v>
      </c>
      <c r="U46" s="12">
        <f t="shared" si="66"/>
        <v>1826.2671710133386</v>
      </c>
      <c r="V46" s="12">
        <f t="shared" si="67"/>
        <v>38462.293450129408</v>
      </c>
      <c r="W46" s="12">
        <f t="shared" si="68"/>
        <v>91977.455703762695</v>
      </c>
      <c r="X46" s="12">
        <f t="shared" si="69"/>
        <v>27061.958988652201</v>
      </c>
      <c r="Y46" s="12">
        <f t="shared" si="70"/>
        <v>45961.057137169024</v>
      </c>
      <c r="Z46" s="12">
        <f t="shared" si="71"/>
        <v>1328.194306191519</v>
      </c>
      <c r="AA46" s="12">
        <f t="shared" si="72"/>
        <v>11344.993032052558</v>
      </c>
      <c r="AB46" s="12">
        <f t="shared" si="73"/>
        <v>0</v>
      </c>
      <c r="AC46" s="12">
        <f t="shared" si="73"/>
        <v>0</v>
      </c>
      <c r="AD46" s="12">
        <f t="shared" si="74"/>
        <v>6530.2886721083014</v>
      </c>
      <c r="AE46" s="12">
        <f t="shared" si="27"/>
        <v>17875.281704160858</v>
      </c>
      <c r="AF46" s="12">
        <f t="shared" si="75"/>
        <v>3403.4979096157676</v>
      </c>
      <c r="AG46" s="8">
        <f t="shared" si="76"/>
        <v>672841.09894485364</v>
      </c>
      <c r="AH46" s="8">
        <f t="shared" si="77"/>
        <v>22108.901055146358</v>
      </c>
    </row>
    <row r="47" spans="1:34" x14ac:dyDescent="0.55000000000000004">
      <c r="A47" s="9">
        <v>42</v>
      </c>
      <c r="B47" s="10" t="s">
        <v>79</v>
      </c>
      <c r="C47" s="9" t="s">
        <v>48</v>
      </c>
      <c r="D47" s="11">
        <v>362833994</v>
      </c>
      <c r="E47" s="11"/>
      <c r="F47" s="11">
        <f t="shared" si="0"/>
        <v>362833994</v>
      </c>
      <c r="G47" s="12">
        <f t="shared" si="53"/>
        <v>53439097.901891299</v>
      </c>
      <c r="H47" s="12">
        <f t="shared" si="54"/>
        <v>45059893.580967553</v>
      </c>
      <c r="I47" s="12">
        <f t="shared" si="55"/>
        <v>0</v>
      </c>
      <c r="J47" s="12">
        <f t="shared" si="56"/>
        <v>38703255.820266776</v>
      </c>
      <c r="K47" s="12">
        <f t="shared" si="57"/>
        <v>137202247.30312562</v>
      </c>
      <c r="L47" s="12">
        <f t="shared" si="58"/>
        <v>51546553.477682658</v>
      </c>
      <c r="M47" s="12">
        <f t="shared" si="59"/>
        <v>0</v>
      </c>
      <c r="N47" s="12">
        <f t="shared" si="59"/>
        <v>0</v>
      </c>
      <c r="O47" s="12">
        <f t="shared" si="60"/>
        <v>7165664.384789966</v>
      </c>
      <c r="P47" s="12">
        <f t="shared" si="61"/>
        <v>58712217.862472624</v>
      </c>
      <c r="Q47" s="12">
        <f t="shared" si="62"/>
        <v>37345246.84411706</v>
      </c>
      <c r="R47" s="12">
        <f t="shared" si="63"/>
        <v>1242433.74413697</v>
      </c>
      <c r="S47" s="12">
        <f t="shared" si="64"/>
        <v>17422966.225920763</v>
      </c>
      <c r="T47" s="12">
        <f t="shared" si="65"/>
        <v>462300.92805096554</v>
      </c>
      <c r="U47" s="12">
        <f t="shared" si="66"/>
        <v>953495.66410511651</v>
      </c>
      <c r="V47" s="12">
        <f t="shared" si="67"/>
        <v>20081196.562213816</v>
      </c>
      <c r="W47" s="12">
        <f t="shared" si="68"/>
        <v>48021508.901294045</v>
      </c>
      <c r="X47" s="12">
        <f t="shared" si="69"/>
        <v>14129072.113557635</v>
      </c>
      <c r="Y47" s="12">
        <f t="shared" si="70"/>
        <v>23996307.546645433</v>
      </c>
      <c r="Z47" s="12">
        <f t="shared" si="71"/>
        <v>693451.3920764483</v>
      </c>
      <c r="AA47" s="12">
        <f t="shared" si="72"/>
        <v>5923230.6406529965</v>
      </c>
      <c r="AB47" s="12">
        <f t="shared" si="73"/>
        <v>0</v>
      </c>
      <c r="AC47" s="12">
        <f t="shared" si="73"/>
        <v>0</v>
      </c>
      <c r="AD47" s="12">
        <f t="shared" si="74"/>
        <v>3409469.3443758711</v>
      </c>
      <c r="AE47" s="12">
        <f t="shared" si="27"/>
        <v>9332699.9850288667</v>
      </c>
      <c r="AF47" s="12">
        <f t="shared" si="75"/>
        <v>1776969.1921958989</v>
      </c>
      <c r="AG47" s="8">
        <f t="shared" si="76"/>
        <v>351290917.70272738</v>
      </c>
      <c r="AH47" s="8">
        <f t="shared" si="77"/>
        <v>11543076.297272623</v>
      </c>
    </row>
    <row r="48" spans="1:34" x14ac:dyDescent="0.55000000000000004">
      <c r="A48" s="15"/>
      <c r="B48" s="10" t="s">
        <v>77</v>
      </c>
      <c r="C48" s="9"/>
      <c r="D48" s="17"/>
      <c r="E48" s="11">
        <v>52095666.719999999</v>
      </c>
      <c r="F48" s="11">
        <f t="shared" si="0"/>
        <v>52095666.719999999</v>
      </c>
      <c r="G48" s="12">
        <f t="shared" si="53"/>
        <v>7672780.0596169615</v>
      </c>
      <c r="H48" s="12">
        <f t="shared" si="54"/>
        <v>6469694.7839808874</v>
      </c>
      <c r="I48" s="12">
        <f t="shared" si="55"/>
        <v>0</v>
      </c>
      <c r="J48" s="12">
        <f t="shared" si="56"/>
        <v>5557009.4024638664</v>
      </c>
      <c r="K48" s="12">
        <f t="shared" si="57"/>
        <v>19699484.246061713</v>
      </c>
      <c r="L48" s="12">
        <f t="shared" si="58"/>
        <v>7401048.7301198486</v>
      </c>
      <c r="M48" s="12">
        <f t="shared" si="59"/>
        <v>0</v>
      </c>
      <c r="N48" s="12">
        <f t="shared" si="59"/>
        <v>0</v>
      </c>
      <c r="O48" s="12">
        <f t="shared" si="60"/>
        <v>1028845.3391646426</v>
      </c>
      <c r="P48" s="12">
        <f t="shared" si="61"/>
        <v>8429894.0692844912</v>
      </c>
      <c r="Q48" s="12">
        <f t="shared" si="62"/>
        <v>5362026.6164125027</v>
      </c>
      <c r="R48" s="12">
        <f t="shared" si="63"/>
        <v>178388.50638741787</v>
      </c>
      <c r="S48" s="12">
        <f t="shared" si="64"/>
        <v>2501587.6593398368</v>
      </c>
      <c r="T48" s="12">
        <f t="shared" si="65"/>
        <v>66377.118655783401</v>
      </c>
      <c r="U48" s="12">
        <f t="shared" si="66"/>
        <v>136902.80722755325</v>
      </c>
      <c r="V48" s="12">
        <f t="shared" si="67"/>
        <v>2883256.0916105914</v>
      </c>
      <c r="W48" s="12">
        <f t="shared" si="68"/>
        <v>6894923.2003695006</v>
      </c>
      <c r="X48" s="12">
        <f t="shared" si="69"/>
        <v>2028650.6889173798</v>
      </c>
      <c r="Y48" s="12">
        <f t="shared" si="70"/>
        <v>3445387.315226757</v>
      </c>
      <c r="Z48" s="12">
        <f t="shared" si="71"/>
        <v>99565.677983675094</v>
      </c>
      <c r="AA48" s="12">
        <f t="shared" si="72"/>
        <v>850456.83277722483</v>
      </c>
      <c r="AB48" s="12">
        <f t="shared" si="73"/>
        <v>0</v>
      </c>
      <c r="AC48" s="12">
        <f t="shared" si="73"/>
        <v>0</v>
      </c>
      <c r="AD48" s="12">
        <f t="shared" si="74"/>
        <v>489531.25008640258</v>
      </c>
      <c r="AE48" s="12">
        <f t="shared" si="27"/>
        <v>1339988.0828636275</v>
      </c>
      <c r="AF48" s="12">
        <f t="shared" si="75"/>
        <v>255137.0498331674</v>
      </c>
      <c r="AG48" s="8"/>
      <c r="AH48" s="8"/>
    </row>
    <row r="49" spans="1:34" x14ac:dyDescent="0.55000000000000004">
      <c r="A49" s="15"/>
      <c r="B49" s="16" t="s">
        <v>75</v>
      </c>
      <c r="C49" s="9"/>
      <c r="D49" s="17"/>
      <c r="E49" s="17">
        <v>4646600</v>
      </c>
      <c r="F49" s="11">
        <f t="shared" si="0"/>
        <v>4646600</v>
      </c>
      <c r="G49" s="12">
        <f t="shared" si="53"/>
        <v>684362.86681266176</v>
      </c>
      <c r="H49" s="12">
        <f t="shared" si="54"/>
        <v>577055.36133784591</v>
      </c>
      <c r="I49" s="12">
        <f t="shared" si="55"/>
        <v>0</v>
      </c>
      <c r="J49" s="12">
        <f t="shared" si="56"/>
        <v>495649.66752936493</v>
      </c>
      <c r="K49" s="12">
        <f t="shared" si="57"/>
        <v>1757067.8956798725</v>
      </c>
      <c r="L49" s="12">
        <f t="shared" si="58"/>
        <v>660126.17161059123</v>
      </c>
      <c r="M49" s="12">
        <f t="shared" si="59"/>
        <v>0</v>
      </c>
      <c r="N49" s="12">
        <f t="shared" si="59"/>
        <v>0</v>
      </c>
      <c r="O49" s="12">
        <f t="shared" si="60"/>
        <v>91766.418475014929</v>
      </c>
      <c r="P49" s="12">
        <f t="shared" si="61"/>
        <v>751892.59008560621</v>
      </c>
      <c r="Q49" s="12">
        <f t="shared" si="62"/>
        <v>478258.45112482581</v>
      </c>
      <c r="R49" s="12">
        <f t="shared" si="63"/>
        <v>15911.112880748557</v>
      </c>
      <c r="S49" s="12">
        <f t="shared" si="64"/>
        <v>223125.60621142742</v>
      </c>
      <c r="T49" s="12">
        <f t="shared" si="65"/>
        <v>5920.4140951622539</v>
      </c>
      <c r="U49" s="12">
        <f t="shared" si="66"/>
        <v>12210.854071272148</v>
      </c>
      <c r="V49" s="12">
        <f t="shared" si="67"/>
        <v>257167.9872586104</v>
      </c>
      <c r="W49" s="12">
        <f t="shared" si="68"/>
        <v>614983.01413497911</v>
      </c>
      <c r="X49" s="12">
        <f t="shared" si="69"/>
        <v>180942.65578339639</v>
      </c>
      <c r="Y49" s="12">
        <f t="shared" si="70"/>
        <v>307306.4941270157</v>
      </c>
      <c r="Z49" s="12">
        <f t="shared" si="71"/>
        <v>8880.6211427433809</v>
      </c>
      <c r="AA49" s="12">
        <f t="shared" si="72"/>
        <v>75855.305594266378</v>
      </c>
      <c r="AB49" s="12">
        <f t="shared" si="73"/>
        <v>0</v>
      </c>
      <c r="AC49" s="12">
        <f t="shared" si="73"/>
        <v>0</v>
      </c>
      <c r="AD49" s="12">
        <f t="shared" si="74"/>
        <v>43663.053951821617</v>
      </c>
      <c r="AE49" s="12">
        <f t="shared" si="27"/>
        <v>119518.359546088</v>
      </c>
      <c r="AF49" s="12">
        <f t="shared" si="75"/>
        <v>22756.591678279914</v>
      </c>
      <c r="AG49" s="8"/>
      <c r="AH49" s="8"/>
    </row>
    <row r="50" spans="1:34" x14ac:dyDescent="0.55000000000000004">
      <c r="A50" s="15"/>
      <c r="B50" s="16" t="s">
        <v>76</v>
      </c>
      <c r="C50" s="9"/>
      <c r="D50" s="17"/>
      <c r="E50" s="17">
        <v>10920000</v>
      </c>
      <c r="F50" s="11">
        <f t="shared" si="0"/>
        <v>10920000</v>
      </c>
      <c r="G50" s="12">
        <f t="shared" si="53"/>
        <v>1608324.9054349989</v>
      </c>
      <c r="H50" s="12">
        <f t="shared" si="54"/>
        <v>1356140.9516225364</v>
      </c>
      <c r="I50" s="12">
        <f t="shared" si="55"/>
        <v>0</v>
      </c>
      <c r="J50" s="12">
        <f t="shared" si="56"/>
        <v>1164828.9866613578</v>
      </c>
      <c r="K50" s="12">
        <f t="shared" si="57"/>
        <v>4129294.8437188929</v>
      </c>
      <c r="L50" s="12">
        <f t="shared" si="58"/>
        <v>1551366.1158670117</v>
      </c>
      <c r="M50" s="12">
        <f t="shared" si="59"/>
        <v>0</v>
      </c>
      <c r="N50" s="12">
        <f t="shared" si="59"/>
        <v>0</v>
      </c>
      <c r="O50" s="12">
        <f t="shared" si="60"/>
        <v>215660.76050169222</v>
      </c>
      <c r="P50" s="12">
        <f t="shared" si="61"/>
        <v>1767026.876368704</v>
      </c>
      <c r="Q50" s="12">
        <f t="shared" si="62"/>
        <v>1123957.794146924</v>
      </c>
      <c r="R50" s="12">
        <f t="shared" si="63"/>
        <v>37392.793151503087</v>
      </c>
      <c r="S50" s="12">
        <f t="shared" si="64"/>
        <v>524368.70396177587</v>
      </c>
      <c r="T50" s="12">
        <f t="shared" si="65"/>
        <v>13913.597451722078</v>
      </c>
      <c r="U50" s="12">
        <f t="shared" si="66"/>
        <v>28696.794744176786</v>
      </c>
      <c r="V50" s="12">
        <f t="shared" si="67"/>
        <v>604371.88930917787</v>
      </c>
      <c r="W50" s="12">
        <f t="shared" si="68"/>
        <v>1445274.935297631</v>
      </c>
      <c r="X50" s="12">
        <f t="shared" si="69"/>
        <v>425234.32211825601</v>
      </c>
      <c r="Y50" s="12">
        <f t="shared" si="70"/>
        <v>722202.6677284491</v>
      </c>
      <c r="Z50" s="12">
        <f t="shared" si="71"/>
        <v>20870.396177583119</v>
      </c>
      <c r="AA50" s="12">
        <f t="shared" si="72"/>
        <v>178267.96735018914</v>
      </c>
      <c r="AB50" s="12">
        <f t="shared" si="73"/>
        <v>0</v>
      </c>
      <c r="AC50" s="12">
        <f t="shared" si="73"/>
        <v>0</v>
      </c>
      <c r="AD50" s="12">
        <f t="shared" si="74"/>
        <v>102612.78120645032</v>
      </c>
      <c r="AE50" s="12">
        <f t="shared" si="27"/>
        <v>280880.74855663948</v>
      </c>
      <c r="AF50" s="12">
        <f t="shared" si="75"/>
        <v>53480.390205056741</v>
      </c>
      <c r="AG50" s="8"/>
      <c r="AH50" s="8"/>
    </row>
    <row r="51" spans="1:34" x14ac:dyDescent="0.55000000000000004">
      <c r="A51" s="15"/>
      <c r="B51" s="16" t="s">
        <v>78</v>
      </c>
      <c r="C51" s="9"/>
      <c r="D51" s="17"/>
      <c r="E51" s="17">
        <v>33807500</v>
      </c>
      <c r="F51" s="11">
        <f t="shared" si="0"/>
        <v>33807500</v>
      </c>
      <c r="G51" s="12">
        <f t="shared" si="53"/>
        <v>4979253.1355763488</v>
      </c>
      <c r="H51" s="12">
        <f t="shared" si="54"/>
        <v>4198510.5514632687</v>
      </c>
      <c r="I51" s="12">
        <f t="shared" si="55"/>
        <v>0</v>
      </c>
      <c r="J51" s="12">
        <f t="shared" si="56"/>
        <v>3606223.073860243</v>
      </c>
      <c r="K51" s="12">
        <f t="shared" si="57"/>
        <v>12783986.76089986</v>
      </c>
      <c r="L51" s="12">
        <f t="shared" si="58"/>
        <v>4802913.0001990842</v>
      </c>
      <c r="M51" s="12">
        <f t="shared" si="59"/>
        <v>0</v>
      </c>
      <c r="N51" s="12">
        <f t="shared" si="59"/>
        <v>0</v>
      </c>
      <c r="O51" s="12">
        <f t="shared" si="60"/>
        <v>667669.52020704758</v>
      </c>
      <c r="P51" s="12">
        <f t="shared" si="61"/>
        <v>5470582.5204061316</v>
      </c>
      <c r="Q51" s="12">
        <f t="shared" si="62"/>
        <v>3479688.9309177781</v>
      </c>
      <c r="R51" s="12">
        <f t="shared" si="63"/>
        <v>115765.27971331873</v>
      </c>
      <c r="S51" s="12">
        <f t="shared" si="64"/>
        <v>1623406.1317937488</v>
      </c>
      <c r="T51" s="12">
        <f t="shared" si="65"/>
        <v>43075.452916583716</v>
      </c>
      <c r="U51" s="12">
        <f t="shared" si="66"/>
        <v>88843.121640453915</v>
      </c>
      <c r="V51" s="12">
        <f t="shared" si="67"/>
        <v>1871089.9860641051</v>
      </c>
      <c r="W51" s="12">
        <f t="shared" si="68"/>
        <v>4474462.6717101336</v>
      </c>
      <c r="X51" s="12">
        <f t="shared" si="69"/>
        <v>1316493.5297630897</v>
      </c>
      <c r="Y51" s="12">
        <f t="shared" si="70"/>
        <v>2235885.2279514233</v>
      </c>
      <c r="Z51" s="12">
        <f t="shared" si="71"/>
        <v>64613.179374875574</v>
      </c>
      <c r="AA51" s="12">
        <f t="shared" si="72"/>
        <v>551904.2404937289</v>
      </c>
      <c r="AB51" s="12">
        <f t="shared" si="73"/>
        <v>0</v>
      </c>
      <c r="AC51" s="12">
        <f t="shared" si="73"/>
        <v>0</v>
      </c>
      <c r="AD51" s="12">
        <f t="shared" si="74"/>
        <v>317681.46525980491</v>
      </c>
      <c r="AE51" s="12">
        <f t="shared" si="27"/>
        <v>869585.70575353387</v>
      </c>
      <c r="AF51" s="12">
        <f t="shared" si="75"/>
        <v>165571.27214811865</v>
      </c>
      <c r="AG51" s="8"/>
      <c r="AH51" s="8"/>
    </row>
    <row r="52" spans="1:34" s="29" customFormat="1" x14ac:dyDescent="0.55000000000000004">
      <c r="A52" s="30">
        <v>43</v>
      </c>
      <c r="B52" s="31" t="s">
        <v>45</v>
      </c>
      <c r="C52" s="24" t="s">
        <v>37</v>
      </c>
      <c r="D52" s="32">
        <v>149744493.92000002</v>
      </c>
      <c r="E52" s="32">
        <v>18873191.710000001</v>
      </c>
      <c r="F52" s="26">
        <f t="shared" si="0"/>
        <v>168617685.63000003</v>
      </c>
      <c r="G52" s="27">
        <f>+F52*8809.94/577917.31</f>
        <v>2570457.1703158752</v>
      </c>
      <c r="H52" s="27">
        <f>+F52*1545/577917.31</f>
        <v>450781.3138498136</v>
      </c>
      <c r="I52" s="27">
        <v>0</v>
      </c>
      <c r="J52" s="27">
        <f>+F52*11845/577917.31</f>
        <v>3455990.072848571</v>
      </c>
      <c r="K52" s="27">
        <f>SUM(G52:J52)</f>
        <v>6477228.5570142604</v>
      </c>
      <c r="L52" s="27">
        <f>+F52*27639.3/577917.31</f>
        <v>8064258.8788926555</v>
      </c>
      <c r="M52" s="27">
        <v>0</v>
      </c>
      <c r="N52" s="27">
        <v>0</v>
      </c>
      <c r="O52" s="27">
        <f>+F52*2880/577917.31</f>
        <v>840291.38115693408</v>
      </c>
      <c r="P52" s="27">
        <f>SUM(L52:O52)</f>
        <v>8904550.260049589</v>
      </c>
      <c r="Q52" s="27">
        <f>+F52*27064.87/577917.31</f>
        <v>7896658.6781711346</v>
      </c>
      <c r="R52" s="27">
        <v>0</v>
      </c>
      <c r="S52" s="27">
        <f>+F52*2801/577917.31</f>
        <v>817241.72174325422</v>
      </c>
      <c r="T52" s="27">
        <f>+F52*346.98/577917.31</f>
        <v>101237.6053589698</v>
      </c>
      <c r="U52" s="27">
        <v>0</v>
      </c>
      <c r="V52" s="27">
        <f>SUM(R52:U52)</f>
        <v>918479.32710222399</v>
      </c>
      <c r="W52" s="27">
        <f>+F52*2154.89/577917.31</f>
        <v>628727.60220182827</v>
      </c>
      <c r="X52" s="27">
        <f>+F52*16757/577917.31</f>
        <v>4889153.7062662309</v>
      </c>
      <c r="Y52" s="27">
        <f>+F52*22551/577917.31</f>
        <v>6579656.5751632014</v>
      </c>
      <c r="Z52" s="27">
        <f>+G52*22551/577917.31</f>
        <v>100302.20352422615</v>
      </c>
      <c r="AA52" s="27">
        <f>+F52*5835.58/577917.31</f>
        <v>1702634.575712424</v>
      </c>
      <c r="AB52" s="27">
        <v>0</v>
      </c>
      <c r="AC52" s="27">
        <v>0</v>
      </c>
      <c r="AD52" s="27">
        <v>0</v>
      </c>
      <c r="AE52" s="27">
        <f t="shared" si="27"/>
        <v>1702634.575712424</v>
      </c>
      <c r="AF52" s="27">
        <f>+F52*5835.58/577917.31</f>
        <v>1702634.575712424</v>
      </c>
      <c r="AG52" s="28">
        <f>+K52+P52+Q52+V52+W52+X52+Y52++AE52+AF52</f>
        <v>39699723.857393324</v>
      </c>
      <c r="AH52" s="28">
        <f>+F52-AG52</f>
        <v>128917961.7726067</v>
      </c>
    </row>
    <row r="53" spans="1:34" x14ac:dyDescent="0.55000000000000004">
      <c r="A53" s="15"/>
      <c r="B53" s="16"/>
      <c r="C53" s="16"/>
      <c r="D53" s="17"/>
      <c r="E53" s="17"/>
      <c r="F53" s="17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4" s="2" customFormat="1" ht="24.75" thickBot="1" x14ac:dyDescent="0.6">
      <c r="A54" s="43" t="s">
        <v>35</v>
      </c>
      <c r="B54" s="44"/>
      <c r="C54" s="39"/>
      <c r="D54" s="20">
        <f t="shared" ref="D54:Y54" si="78">SUM(D6:D53)</f>
        <v>694122425.04999995</v>
      </c>
      <c r="E54" s="20">
        <f t="shared" si="78"/>
        <v>224377291.44000003</v>
      </c>
      <c r="F54" s="20">
        <f t="shared" si="78"/>
        <v>918499716.49000013</v>
      </c>
      <c r="G54" s="20">
        <f t="shared" si="78"/>
        <v>108813214.6805768</v>
      </c>
      <c r="H54" s="20">
        <f t="shared" si="78"/>
        <v>89710797.292013109</v>
      </c>
      <c r="I54" s="20">
        <f t="shared" si="78"/>
        <v>0</v>
      </c>
      <c r="J54" s="20">
        <f t="shared" si="78"/>
        <v>80703175.042722508</v>
      </c>
      <c r="K54" s="20">
        <f t="shared" si="78"/>
        <v>279227187.01531243</v>
      </c>
      <c r="L54" s="20">
        <f t="shared" si="78"/>
        <v>111598422.91569805</v>
      </c>
      <c r="M54" s="20">
        <f t="shared" si="78"/>
        <v>0</v>
      </c>
      <c r="N54" s="20">
        <f t="shared" si="78"/>
        <v>0</v>
      </c>
      <c r="O54" s="20">
        <f t="shared" si="78"/>
        <v>15179948.974556226</v>
      </c>
      <c r="P54" s="20">
        <f t="shared" si="78"/>
        <v>126778371.89025426</v>
      </c>
      <c r="Q54" s="20">
        <f t="shared" si="78"/>
        <v>83294361.279258162</v>
      </c>
      <c r="R54" s="20">
        <f t="shared" si="78"/>
        <v>2458815.3513748753</v>
      </c>
      <c r="S54" s="20">
        <f t="shared" si="78"/>
        <v>35452071.382043645</v>
      </c>
      <c r="T54" s="20">
        <f t="shared" si="78"/>
        <v>1035251.5918186057</v>
      </c>
      <c r="U54" s="20">
        <f t="shared" si="78"/>
        <v>1886997.827799323</v>
      </c>
      <c r="V54" s="20">
        <f t="shared" si="78"/>
        <v>40833136.153036445</v>
      </c>
      <c r="W54" s="20">
        <f t="shared" si="78"/>
        <v>95783455.90228945</v>
      </c>
      <c r="X54" s="20">
        <f t="shared" si="78"/>
        <v>33773730.427588083</v>
      </c>
      <c r="Y54" s="20">
        <f t="shared" si="78"/>
        <v>55310839.90456102</v>
      </c>
      <c r="Z54" s="20">
        <f t="shared" ref="Z54" si="79">SUM(Z6:Z53)</f>
        <v>1491593.6762263959</v>
      </c>
      <c r="AA54" s="20">
        <f t="shared" ref="AA54:AH54" si="80">SUM(AA6:AA53)</f>
        <v>13746221.529170584</v>
      </c>
      <c r="AB54" s="20">
        <f t="shared" si="80"/>
        <v>0</v>
      </c>
      <c r="AC54" s="20">
        <f t="shared" si="80"/>
        <v>0</v>
      </c>
      <c r="AD54" s="20">
        <f t="shared" si="80"/>
        <v>6747446.7781915199</v>
      </c>
      <c r="AE54" s="20">
        <f t="shared" si="80"/>
        <v>20493668.307362102</v>
      </c>
      <c r="AF54" s="20">
        <f t="shared" si="80"/>
        <v>5540640.0658614058</v>
      </c>
      <c r="AG54" s="20">
        <f t="shared" si="80"/>
        <v>610006544.7224009</v>
      </c>
      <c r="AH54" s="20">
        <f t="shared" si="80"/>
        <v>171741389.15759921</v>
      </c>
    </row>
    <row r="55" spans="1:34" s="37" customFormat="1" ht="28.5" thickTop="1" x14ac:dyDescent="0.65">
      <c r="A55" s="35" t="s">
        <v>65</v>
      </c>
      <c r="B55" s="35"/>
      <c r="C55" s="35"/>
      <c r="D55" s="36"/>
      <c r="E55" s="36"/>
      <c r="F55" s="36"/>
    </row>
    <row r="56" spans="1:34" s="37" customFormat="1" ht="27.75" x14ac:dyDescent="0.65">
      <c r="A56" s="38">
        <v>1</v>
      </c>
      <c r="B56" s="35" t="s">
        <v>66</v>
      </c>
      <c r="C56" s="35" t="s">
        <v>69</v>
      </c>
      <c r="D56" s="36"/>
      <c r="E56" s="36"/>
      <c r="F56" s="36"/>
    </row>
    <row r="57" spans="1:34" s="37" customFormat="1" ht="27.75" x14ac:dyDescent="0.65">
      <c r="A57" s="38">
        <v>2</v>
      </c>
      <c r="B57" s="35" t="s">
        <v>67</v>
      </c>
      <c r="C57" s="35" t="s">
        <v>68</v>
      </c>
      <c r="D57" s="36"/>
      <c r="E57" s="36"/>
      <c r="F57" s="36"/>
    </row>
    <row r="115" spans="4:4" x14ac:dyDescent="0.55000000000000004">
      <c r="D115" s="23">
        <f>SUM(D62:D114)</f>
        <v>0</v>
      </c>
    </row>
  </sheetData>
  <mergeCells count="21">
    <mergeCell ref="A1:F2"/>
    <mergeCell ref="G1:AF2"/>
    <mergeCell ref="A3:A5"/>
    <mergeCell ref="B3:B5"/>
    <mergeCell ref="C3:C5"/>
    <mergeCell ref="D3:F3"/>
    <mergeCell ref="G3:AF3"/>
    <mergeCell ref="D4:D5"/>
    <mergeCell ref="E4:E5"/>
    <mergeCell ref="F4:F5"/>
    <mergeCell ref="Y4:Y5"/>
    <mergeCell ref="AA4:AE4"/>
    <mergeCell ref="AF4:AF5"/>
    <mergeCell ref="W4:W5"/>
    <mergeCell ref="X4:X5"/>
    <mergeCell ref="Z4:Z5"/>
    <mergeCell ref="A54:B54"/>
    <mergeCell ref="G4:K4"/>
    <mergeCell ref="L4:P4"/>
    <mergeCell ref="Q4:Q5"/>
    <mergeCell ref="R4:V4"/>
  </mergeCells>
  <pageMargins left="0.39370078740157483" right="0.23622047244094491" top="0.74803149606299213" bottom="0.74803149606299213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4" sqref="G1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ปันส่วนกลาง 61</vt:lpstr>
      <vt:lpstr>Sheet3</vt:lpstr>
      <vt:lpstr>'ปันส่วนกลาง 61'!Print_Titles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Ratree</cp:lastModifiedBy>
  <cp:lastPrinted>2017-09-26T04:36:06Z</cp:lastPrinted>
  <dcterms:created xsi:type="dcterms:W3CDTF">2016-09-01T06:24:19Z</dcterms:created>
  <dcterms:modified xsi:type="dcterms:W3CDTF">2019-06-17T03:17:14Z</dcterms:modified>
</cp:coreProperties>
</file>