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anjana.N\งานนา\ต้นุทน\ต้นทุนต่อหลักสูตร\2562\ต้นทุนต่อหลักสูตร 62\ค่าใช้จ่าย 62\"/>
    </mc:Choice>
  </mc:AlternateContent>
  <xr:revisionPtr revIDLastSave="0" documentId="13_ncr:1_{F73A7B05-5510-4AEB-98DE-A42B8EC228BC}" xr6:coauthVersionLast="36" xr6:coauthVersionMax="36" xr10:uidLastSave="{00000000-0000-0000-0000-000000000000}"/>
  <bookViews>
    <workbookView xWindow="0" yWindow="0" windowWidth="20490" windowHeight="7545" tabRatio="939" firstSheet="4" activeTab="10" xr2:uid="{00000000-000D-0000-FFFF-FFFF00000000}"/>
  </bookViews>
  <sheets>
    <sheet name="บริหาร" sheetId="2" r:id="rId1"/>
    <sheet name="ศิลปศาสตร์" sheetId="4" r:id="rId2"/>
    <sheet name="วิทยาลัยเพาะช่าง" sheetId="5" r:id="rId3"/>
    <sheet name="วิศวกรรมศาสตร์" sheetId="6" r:id="rId4"/>
    <sheet name="สถาปัตยกรรม" sheetId="8" r:id="rId5"/>
    <sheet name="วิทยาศาสตร์" sheetId="16" r:id="rId6"/>
    <sheet name="ส่วนกลาง" sheetId="9" r:id="rId7"/>
    <sheet name="อุต+โรงแรม" sheetId="11" r:id="rId8"/>
    <sheet name="อุต+เทคโนฯ" sheetId="12" r:id="rId9"/>
    <sheet name="สำนักวิทยาเขตวังไกล" sheetId="13" r:id="rId10"/>
    <sheet name="สำนักการศึกษา" sheetId="14" r:id="rId11"/>
    <sheet name="ยังไม่เรียบร้อย" sheetId="3" state="hidden" r:id="rId12"/>
    <sheet name="พนักงานวังไกล (62)" sheetId="15" state="hidden" r:id="rId13"/>
    <sheet name="พนักงานวังไกล" sheetId="10" state="hidden" r:id="rId14"/>
  </sheets>
  <definedNames>
    <definedName name="_xlnm._FilterDatabase" localSheetId="13" hidden="1">พนักงานวังไกล!$A$4:$FH$148</definedName>
    <definedName name="_xlnm._FilterDatabase" localSheetId="12" hidden="1">'พนักงานวังไกล (62)'!$A$4:$FO$153</definedName>
    <definedName name="_xlnm.Print_Titles" localSheetId="13">พนักงานวังไกล!$A:$C,พนักงานวังไกล!$2:$4</definedName>
    <definedName name="_xlnm.Print_Titles" localSheetId="12">'พนักงานวังไกล (62)'!$A:$D,'พนักงานวังไกล (62)'!$2:$4</definedName>
    <definedName name="_xlnm.Print_Titles" localSheetId="11">ยังไม่เรียบร้อย!$A:$B,ยังไม่เรียบร้อย!$1:$2</definedName>
  </definedNames>
  <calcPr calcId="191029"/>
</workbook>
</file>

<file path=xl/calcChain.xml><?xml version="1.0" encoding="utf-8"?>
<calcChain xmlns="http://schemas.openxmlformats.org/spreadsheetml/2006/main">
  <c r="AKC40" i="9" l="1"/>
  <c r="AKC37" i="9"/>
  <c r="AKC29" i="9"/>
  <c r="AKC21" i="9"/>
  <c r="AKC13" i="9"/>
  <c r="RC37" i="6"/>
  <c r="RC40" i="6" s="1"/>
  <c r="RC29" i="6"/>
  <c r="RC21" i="6"/>
  <c r="RC13" i="6"/>
  <c r="HJ40" i="4"/>
  <c r="HJ37" i="4"/>
  <c r="HJ29" i="4"/>
  <c r="HJ21" i="4"/>
  <c r="HJ13" i="4"/>
  <c r="PB40" i="2"/>
  <c r="PB37" i="2"/>
  <c r="PB29" i="2"/>
  <c r="PB21" i="2"/>
  <c r="PB13" i="2"/>
  <c r="PA6" i="2" l="1"/>
  <c r="AP43" i="2" l="1"/>
  <c r="AP44" i="2"/>
  <c r="AP45" i="2"/>
  <c r="AP46" i="2"/>
  <c r="AC43" i="2"/>
  <c r="AC44" i="2"/>
  <c r="AC45" i="2"/>
  <c r="AC46" i="2"/>
  <c r="P44" i="2"/>
  <c r="P45" i="2"/>
  <c r="P46" i="2"/>
  <c r="AQ44" i="2"/>
  <c r="PA44" i="2" s="1"/>
  <c r="P43" i="2"/>
  <c r="AQ43" i="2" l="1"/>
  <c r="PA43" i="2" s="1"/>
  <c r="AQ46" i="2"/>
  <c r="PA46" i="2" s="1"/>
  <c r="AQ45" i="2"/>
  <c r="PA45" i="2" s="1"/>
  <c r="OG45" i="2"/>
  <c r="OG35" i="2"/>
  <c r="OG34" i="2"/>
  <c r="OG31" i="2"/>
  <c r="OG30" i="2"/>
  <c r="OF30" i="2"/>
  <c r="NG30" i="2"/>
  <c r="NG45" i="2"/>
  <c r="NG35" i="2"/>
  <c r="NG34" i="2"/>
  <c r="NG31" i="2"/>
  <c r="OS45" i="2"/>
  <c r="OS30" i="2"/>
  <c r="NM31" i="2"/>
  <c r="MZ31" i="2"/>
  <c r="HF31" i="4"/>
  <c r="HA45" i="4"/>
  <c r="HA31" i="4"/>
  <c r="OG30" i="6"/>
  <c r="NG45" i="6"/>
  <c r="NG34" i="6"/>
  <c r="NG30" i="6"/>
  <c r="GO31" i="4"/>
  <c r="FO45" i="4"/>
  <c r="FO35" i="4"/>
  <c r="FO31" i="4"/>
  <c r="AK34" i="14"/>
  <c r="X34" i="14"/>
  <c r="K34" i="14"/>
  <c r="AK34" i="13"/>
  <c r="X34" i="13"/>
  <c r="K34" i="13"/>
  <c r="V34" i="13"/>
  <c r="AM30" i="12"/>
  <c r="M30" i="12"/>
  <c r="AK45" i="12"/>
  <c r="AK34" i="12"/>
  <c r="AK30" i="12"/>
  <c r="W30" i="12"/>
  <c r="K45" i="12"/>
  <c r="K34" i="12"/>
  <c r="K30" i="12"/>
  <c r="AK45" i="11"/>
  <c r="AK35" i="11"/>
  <c r="AK31" i="11"/>
  <c r="K45" i="11"/>
  <c r="K35" i="11"/>
  <c r="K31" i="11"/>
  <c r="DE63" i="15"/>
  <c r="DA63" i="15"/>
  <c r="DC63" i="15"/>
  <c r="DD73" i="15"/>
  <c r="MJ15" i="2"/>
  <c r="LW15" i="2"/>
  <c r="AB6" i="16"/>
  <c r="O6" i="16"/>
  <c r="LW10" i="8"/>
  <c r="AGJ18" i="9"/>
  <c r="KH23" i="5" l="1"/>
  <c r="NF19" i="2"/>
  <c r="JF10" i="9"/>
  <c r="IS10" i="9"/>
  <c r="Z6" i="16"/>
  <c r="M6" i="16"/>
  <c r="JS6" i="6"/>
  <c r="IS6" i="6"/>
  <c r="GC10" i="9"/>
  <c r="FP10" i="9"/>
  <c r="NW6" i="8"/>
  <c r="FC35" i="15"/>
  <c r="FA35" i="15"/>
  <c r="EP35" i="15"/>
  <c r="EN35" i="15"/>
  <c r="EC35" i="15"/>
  <c r="EA35" i="15"/>
  <c r="HF6" i="4"/>
  <c r="ET212" i="15"/>
  <c r="XO23" i="5"/>
  <c r="XP40" i="5"/>
  <c r="XO40" i="5"/>
  <c r="XN40" i="5"/>
  <c r="XM40" i="5"/>
  <c r="XL40" i="5"/>
  <c r="XJ40" i="5"/>
  <c r="XI40" i="5"/>
  <c r="XH40" i="5"/>
  <c r="XG40" i="5"/>
  <c r="XF40" i="5"/>
  <c r="XE40" i="5"/>
  <c r="XQ39" i="5"/>
  <c r="XQ38" i="5"/>
  <c r="XQ37" i="5"/>
  <c r="XQ36" i="5"/>
  <c r="XQ35" i="5"/>
  <c r="XQ34" i="5"/>
  <c r="XQ33" i="5"/>
  <c r="XQ32" i="5"/>
  <c r="XQ31" i="5"/>
  <c r="XQ30" i="5"/>
  <c r="XQ29" i="5"/>
  <c r="XQ28" i="5"/>
  <c r="XQ27" i="5"/>
  <c r="XQ26" i="5"/>
  <c r="XQ25" i="5"/>
  <c r="XQ24" i="5"/>
  <c r="XQ23" i="5"/>
  <c r="XK40" i="5"/>
  <c r="XQ22" i="5"/>
  <c r="XQ21" i="5"/>
  <c r="XQ20" i="5"/>
  <c r="XQ19" i="5"/>
  <c r="XQ18" i="5"/>
  <c r="XQ17" i="5"/>
  <c r="XQ16" i="5"/>
  <c r="XQ15" i="5"/>
  <c r="XQ14" i="5"/>
  <c r="XQ13" i="5"/>
  <c r="XQ12" i="5"/>
  <c r="XQ11" i="5"/>
  <c r="XQ10" i="5"/>
  <c r="XQ9" i="5"/>
  <c r="XQ8" i="5"/>
  <c r="XQ7" i="5"/>
  <c r="XQ6" i="5"/>
  <c r="KH43" i="5"/>
  <c r="NI6" i="16"/>
  <c r="WX23" i="5"/>
  <c r="VK22" i="5"/>
  <c r="XQ40" i="5" l="1"/>
  <c r="SV10" i="9" l="1"/>
  <c r="OF10" i="9"/>
  <c r="GB10" i="9"/>
  <c r="FO10" i="9"/>
  <c r="AFD13" i="9"/>
  <c r="AED13" i="9"/>
  <c r="ADP12" i="9"/>
  <c r="ACP12" i="9"/>
  <c r="QH11" i="9"/>
  <c r="UJ27" i="5"/>
  <c r="TJ27" i="5"/>
  <c r="SV23" i="5"/>
  <c r="RV23" i="5"/>
  <c r="RH23" i="5"/>
  <c r="QH23" i="5"/>
  <c r="PT23" i="5"/>
  <c r="OT23" i="5"/>
  <c r="OF23" i="5"/>
  <c r="NF23" i="5"/>
  <c r="MR23" i="5"/>
  <c r="LR23" i="5"/>
  <c r="LD23" i="5"/>
  <c r="KD23" i="5"/>
  <c r="GN11" i="4"/>
  <c r="GN7" i="4"/>
  <c r="GA7" i="4"/>
  <c r="FN11" i="4"/>
  <c r="FN7" i="4"/>
  <c r="GN23" i="4"/>
  <c r="FN27" i="4"/>
  <c r="FN23" i="4"/>
  <c r="GN19" i="4"/>
  <c r="GA19" i="4"/>
  <c r="FN19" i="4"/>
  <c r="EZ15" i="4"/>
  <c r="DZ15" i="4"/>
  <c r="DL15" i="4"/>
  <c r="CL15" i="4"/>
  <c r="BX15" i="4"/>
  <c r="AX15" i="4"/>
  <c r="AJ15" i="4"/>
  <c r="J15" i="4"/>
  <c r="OF19" i="2"/>
  <c r="MR15" i="2"/>
  <c r="LR15" i="2"/>
  <c r="GN15" i="2"/>
  <c r="FN15" i="2"/>
  <c r="LD15" i="2"/>
  <c r="KD15" i="2"/>
  <c r="JP15" i="2"/>
  <c r="IP15" i="2"/>
  <c r="OF11" i="2"/>
  <c r="NS11" i="2"/>
  <c r="NF11" i="2"/>
  <c r="IB7" i="2"/>
  <c r="HB7" i="2"/>
  <c r="GN7" i="2"/>
  <c r="FN7" i="2"/>
  <c r="DZ7" i="2"/>
  <c r="AAN10" i="9"/>
  <c r="AAA10" i="9"/>
  <c r="ZN10" i="9"/>
  <c r="YZ10" i="9"/>
  <c r="XZ10" i="9"/>
  <c r="XL10" i="9"/>
  <c r="WL10" i="9"/>
  <c r="VX10" i="9"/>
  <c r="UX10" i="9"/>
  <c r="UJ10" i="9"/>
  <c r="TJ10" i="9"/>
  <c r="RV10" i="9"/>
  <c r="RH10" i="9"/>
  <c r="QH10" i="9"/>
  <c r="PT10" i="9"/>
  <c r="OT10" i="9"/>
  <c r="NF10" i="9"/>
  <c r="MR10" i="9"/>
  <c r="ME10" i="9"/>
  <c r="LR10" i="9"/>
  <c r="LD10" i="9"/>
  <c r="KD10" i="9"/>
  <c r="JP10" i="9"/>
  <c r="IP10" i="9"/>
  <c r="IB10" i="9"/>
  <c r="HB10" i="9"/>
  <c r="GN10" i="9"/>
  <c r="FN10" i="9"/>
  <c r="EZ10" i="9"/>
  <c r="DZ10" i="9"/>
  <c r="DL10" i="9"/>
  <c r="CL10" i="9"/>
  <c r="BX10" i="9"/>
  <c r="AX10" i="9"/>
  <c r="J10" i="9"/>
  <c r="AJ6" i="16"/>
  <c r="W6" i="16"/>
  <c r="J6" i="16"/>
  <c r="ACB10" i="9"/>
  <c r="ABB10" i="9"/>
  <c r="MR10" i="8"/>
  <c r="LR10" i="8"/>
  <c r="LD6" i="8"/>
  <c r="KD6" i="8"/>
  <c r="JP6" i="8"/>
  <c r="IP6" i="8"/>
  <c r="IB6" i="8"/>
  <c r="HB6" i="8"/>
  <c r="GN6" i="8"/>
  <c r="FN6" i="8"/>
  <c r="EZ6" i="8"/>
  <c r="DZ6" i="8"/>
  <c r="DL6" i="8"/>
  <c r="CL6" i="8"/>
  <c r="BX6" i="8"/>
  <c r="AX6" i="8"/>
  <c r="AJ6" i="8"/>
  <c r="J6" i="8"/>
  <c r="OF10" i="6"/>
  <c r="NF10" i="6"/>
  <c r="MR6" i="6"/>
  <c r="LR6" i="6"/>
  <c r="LD6" i="6"/>
  <c r="KD6" i="6"/>
  <c r="JP6" i="6"/>
  <c r="IP6" i="6"/>
  <c r="IB6" i="6"/>
  <c r="HB6" i="6"/>
  <c r="GN6" i="6"/>
  <c r="FN6" i="6"/>
  <c r="EZ6" i="6"/>
  <c r="DZ6" i="6"/>
  <c r="DL6" i="6"/>
  <c r="CL6" i="6"/>
  <c r="BX6" i="6"/>
  <c r="AX10" i="6"/>
  <c r="AX6" i="6"/>
  <c r="AJ6" i="6"/>
  <c r="J10" i="6"/>
  <c r="J6" i="6"/>
  <c r="AGR18" i="9"/>
  <c r="AGE18" i="9"/>
  <c r="AFR18" i="9"/>
  <c r="JP22" i="5"/>
  <c r="IP22" i="5"/>
  <c r="IB22" i="5"/>
  <c r="HB22" i="5"/>
  <c r="GN22" i="5"/>
  <c r="FN22" i="5"/>
  <c r="EZ22" i="5"/>
  <c r="DZ22" i="5"/>
  <c r="DL22" i="5"/>
  <c r="CL22" i="5"/>
  <c r="BX22" i="5"/>
  <c r="AX22" i="5"/>
  <c r="AJ22" i="5"/>
  <c r="J22" i="5"/>
  <c r="J14" i="4"/>
  <c r="AJ14" i="4"/>
  <c r="AJ6" i="4"/>
  <c r="J6" i="4"/>
  <c r="DL14" i="2"/>
  <c r="CL14" i="2"/>
  <c r="BX6" i="2"/>
  <c r="AX6" i="2"/>
  <c r="AJ6" i="2"/>
  <c r="J6" i="2"/>
  <c r="BY228" i="15"/>
  <c r="CE221" i="15"/>
  <c r="CE205" i="15"/>
  <c r="WL23" i="5"/>
  <c r="QU6" i="6"/>
  <c r="QY40" i="6"/>
  <c r="QX40" i="6"/>
  <c r="QW40" i="6"/>
  <c r="QV40" i="6"/>
  <c r="QU40" i="6"/>
  <c r="QT40" i="6"/>
  <c r="QR40" i="6"/>
  <c r="QQ40" i="6"/>
  <c r="QO40" i="6"/>
  <c r="QN40" i="6"/>
  <c r="QZ39" i="6"/>
  <c r="QZ38" i="6"/>
  <c r="QZ37" i="6"/>
  <c r="QZ36" i="6"/>
  <c r="QZ35" i="6"/>
  <c r="QZ34" i="6"/>
  <c r="QZ33" i="6"/>
  <c r="QZ32" i="6"/>
  <c r="QZ31" i="6"/>
  <c r="QZ30" i="6"/>
  <c r="QZ29" i="6"/>
  <c r="QZ28" i="6"/>
  <c r="QZ27" i="6"/>
  <c r="QZ26" i="6"/>
  <c r="QZ25" i="6"/>
  <c r="QZ24" i="6"/>
  <c r="QZ23" i="6"/>
  <c r="QZ22" i="6"/>
  <c r="QZ21" i="6"/>
  <c r="QZ20" i="6"/>
  <c r="QZ19" i="6"/>
  <c r="QZ18" i="6"/>
  <c r="QZ17" i="6"/>
  <c r="QZ16" i="6"/>
  <c r="QZ15" i="6"/>
  <c r="QZ14" i="6"/>
  <c r="QZ13" i="6"/>
  <c r="QZ12" i="6"/>
  <c r="QZ11" i="6"/>
  <c r="QZ10" i="6"/>
  <c r="QZ9" i="6"/>
  <c r="QZ8" i="6"/>
  <c r="QZ7" i="6"/>
  <c r="QS40" i="6"/>
  <c r="QP40" i="6"/>
  <c r="QZ40" i="6" l="1"/>
  <c r="QZ6" i="6"/>
  <c r="DB147" i="15"/>
  <c r="CZ147" i="15"/>
  <c r="DF146" i="15"/>
  <c r="DK145" i="15"/>
  <c r="DI145" i="15"/>
  <c r="DH144" i="15"/>
  <c r="DF144" i="15"/>
  <c r="DB143" i="15"/>
  <c r="CZ143" i="15"/>
  <c r="DB142" i="15"/>
  <c r="CZ142" i="15"/>
  <c r="DK141" i="15"/>
  <c r="DI141" i="15"/>
  <c r="DE140" i="15"/>
  <c r="DC140" i="15"/>
  <c r="DE139" i="15"/>
  <c r="DC139" i="15"/>
  <c r="DB138" i="15"/>
  <c r="CZ138" i="15"/>
  <c r="DH137" i="15"/>
  <c r="DF137" i="15"/>
  <c r="DH136" i="15"/>
  <c r="DF136" i="15"/>
  <c r="DH135" i="15"/>
  <c r="DF135" i="15"/>
  <c r="DB133" i="15"/>
  <c r="CZ133" i="15"/>
  <c r="DB132" i="15"/>
  <c r="CZ132" i="15"/>
  <c r="DB131" i="15"/>
  <c r="CZ131" i="15"/>
  <c r="CO148" i="15"/>
  <c r="CZ127" i="15"/>
  <c r="DB126" i="15"/>
  <c r="CZ126" i="15"/>
  <c r="CZ125" i="15"/>
  <c r="DC124" i="15"/>
  <c r="DH120" i="15"/>
  <c r="DF120" i="15"/>
  <c r="DF119" i="15"/>
  <c r="DH118" i="15"/>
  <c r="DF118" i="15"/>
  <c r="DH117" i="15"/>
  <c r="DF117" i="15"/>
  <c r="DF116" i="15"/>
  <c r="DH115" i="15"/>
  <c r="DF115" i="15"/>
  <c r="DH114" i="15"/>
  <c r="DF114" i="15"/>
  <c r="DH113" i="15"/>
  <c r="DF113" i="15"/>
  <c r="DH112" i="15"/>
  <c r="DF112" i="15"/>
  <c r="DH111" i="15"/>
  <c r="DF111" i="15"/>
  <c r="DH110" i="15"/>
  <c r="DF110" i="15"/>
  <c r="DH109" i="15"/>
  <c r="DF109" i="15"/>
  <c r="DH108" i="15"/>
  <c r="DF108" i="15"/>
  <c r="DH107" i="15"/>
  <c r="DF107" i="15"/>
  <c r="DH106" i="15"/>
  <c r="DF106" i="15"/>
  <c r="DH105" i="15"/>
  <c r="DF105" i="15"/>
  <c r="DI104" i="15"/>
  <c r="DH103" i="15"/>
  <c r="DF103" i="15"/>
  <c r="DF102" i="15"/>
  <c r="DD98" i="15"/>
  <c r="DC98" i="15"/>
  <c r="DE97" i="15"/>
  <c r="DC97" i="15"/>
  <c r="DE93" i="15"/>
  <c r="DD93" i="15"/>
  <c r="DC93" i="15"/>
  <c r="DE92" i="15"/>
  <c r="DC92" i="15"/>
  <c r="DE91" i="15"/>
  <c r="DC91" i="15"/>
  <c r="DE90" i="15"/>
  <c r="DC90" i="15"/>
  <c r="DE88" i="15"/>
  <c r="DC88" i="15"/>
  <c r="DE87" i="15"/>
  <c r="DC87" i="15"/>
  <c r="DE86" i="15"/>
  <c r="DC86" i="15"/>
  <c r="DE85" i="15"/>
  <c r="DC85" i="15"/>
  <c r="DE84" i="15"/>
  <c r="DC84" i="15"/>
  <c r="DE83" i="15"/>
  <c r="DC83" i="15"/>
  <c r="DE82" i="15"/>
  <c r="DC82" i="15"/>
  <c r="DE81" i="15"/>
  <c r="DC81" i="15"/>
  <c r="DE80" i="15"/>
  <c r="DC80" i="15"/>
  <c r="DE79" i="15"/>
  <c r="DC79" i="15"/>
  <c r="DE78" i="15"/>
  <c r="DD78" i="15"/>
  <c r="DC78" i="15"/>
  <c r="DE77" i="15"/>
  <c r="DC77" i="15"/>
  <c r="DC76" i="15"/>
  <c r="DE75" i="15"/>
  <c r="DC75" i="15"/>
  <c r="DB67" i="15"/>
  <c r="CZ67" i="15"/>
  <c r="CZ66" i="15"/>
  <c r="CZ65" i="15"/>
  <c r="CZ64" i="15"/>
  <c r="CZ62" i="15"/>
  <c r="DB61" i="15"/>
  <c r="CZ61" i="15"/>
  <c r="DB60" i="15"/>
  <c r="CZ60" i="15"/>
  <c r="DB59" i="15"/>
  <c r="CZ59" i="15"/>
  <c r="DB58" i="15"/>
  <c r="CZ58" i="15"/>
  <c r="DB57" i="15"/>
  <c r="CZ57" i="15"/>
  <c r="DB56" i="15"/>
  <c r="CZ56" i="15"/>
  <c r="DB55" i="15"/>
  <c r="CZ55" i="15"/>
  <c r="DB54" i="15"/>
  <c r="CZ54" i="15"/>
  <c r="DB53" i="15"/>
  <c r="CZ53" i="15"/>
  <c r="DB52" i="15"/>
  <c r="CZ52" i="15"/>
  <c r="DC51" i="15"/>
  <c r="DB50" i="15"/>
  <c r="CZ50" i="15"/>
  <c r="DE49" i="15"/>
  <c r="DC49" i="15"/>
  <c r="DB46" i="15"/>
  <c r="CZ46" i="15"/>
  <c r="DB45" i="15"/>
  <c r="CZ45" i="15"/>
  <c r="CZ42" i="15"/>
  <c r="DE41" i="15"/>
  <c r="DC41" i="15"/>
  <c r="DC40" i="15"/>
  <c r="DE39" i="15"/>
  <c r="DC39" i="15"/>
  <c r="DB38" i="15"/>
  <c r="CZ38" i="15"/>
  <c r="DB37" i="15"/>
  <c r="CZ37" i="15"/>
  <c r="CZ36" i="15"/>
  <c r="DB35" i="15"/>
  <c r="CZ35" i="15"/>
  <c r="DB34" i="15"/>
  <c r="CZ34" i="15"/>
  <c r="DB33" i="15"/>
  <c r="CZ33" i="15"/>
  <c r="DB32" i="15"/>
  <c r="CZ32" i="15"/>
  <c r="DB31" i="15"/>
  <c r="CZ31" i="15"/>
  <c r="DB30" i="15"/>
  <c r="CZ30" i="15"/>
  <c r="DB29" i="15"/>
  <c r="CZ29" i="15"/>
  <c r="DB28" i="15"/>
  <c r="CZ28" i="15"/>
  <c r="CZ27" i="15"/>
  <c r="DH20" i="15"/>
  <c r="DF20" i="15"/>
  <c r="DH19" i="15"/>
  <c r="DF19" i="15"/>
  <c r="DF18" i="15"/>
  <c r="DK17" i="15"/>
  <c r="DI17" i="15"/>
  <c r="DH16" i="15"/>
  <c r="DF16" i="15"/>
  <c r="DK15" i="15"/>
  <c r="DI15" i="15"/>
  <c r="DF14" i="15"/>
  <c r="DH13" i="15"/>
  <c r="DF13" i="15"/>
  <c r="DH12" i="15"/>
  <c r="DF12" i="15"/>
  <c r="DH11" i="15"/>
  <c r="DF11" i="15"/>
  <c r="DH10" i="15"/>
  <c r="DF10" i="15"/>
  <c r="DK9" i="15"/>
  <c r="DI9" i="15"/>
  <c r="DK8" i="15"/>
  <c r="DI8" i="15"/>
  <c r="DH7" i="15"/>
  <c r="DF7" i="15"/>
  <c r="DH6" i="15"/>
  <c r="DF6" i="15"/>
  <c r="J43" i="16" l="1"/>
  <c r="W43" i="16"/>
  <c r="ZN43" i="9"/>
  <c r="IP43" i="6"/>
  <c r="GA46" i="4"/>
  <c r="NS46" i="2"/>
  <c r="V46" i="13"/>
  <c r="TV27" i="5"/>
  <c r="QF6" i="6"/>
  <c r="CX15" i="4"/>
  <c r="CK15" i="4"/>
  <c r="PF10" i="9"/>
  <c r="OS10" i="9"/>
  <c r="FZ19" i="4"/>
  <c r="EL15" i="4"/>
  <c r="BJ15" i="4"/>
  <c r="V46" i="4"/>
  <c r="V15" i="4"/>
  <c r="NR19" i="2"/>
  <c r="EL15" i="2"/>
  <c r="MD15" i="2"/>
  <c r="FZ15" i="2"/>
  <c r="KP15" i="2"/>
  <c r="JB15" i="2"/>
  <c r="V14" i="4"/>
  <c r="CX14" i="2"/>
  <c r="QH43" i="9" l="1"/>
  <c r="GN43" i="4"/>
  <c r="FN43" i="4"/>
  <c r="AJ43" i="4"/>
  <c r="J43" i="4"/>
  <c r="OF43" i="2"/>
  <c r="NF43" i="2"/>
  <c r="GN43" i="2"/>
  <c r="FN43" i="2"/>
  <c r="AX43" i="6"/>
  <c r="J43" i="6"/>
  <c r="TT27" i="5" l="1"/>
  <c r="MB15" i="2"/>
  <c r="LO15" i="2"/>
  <c r="IZ15" i="2"/>
  <c r="IM15" i="2"/>
  <c r="T6" i="4"/>
  <c r="G6" i="4"/>
  <c r="TS27" i="5"/>
  <c r="FW27" i="4"/>
  <c r="FJ27" i="4"/>
  <c r="HK7" i="2"/>
  <c r="GX7" i="2"/>
  <c r="FW7" i="2"/>
  <c r="FJ7" i="2"/>
  <c r="NO10" i="9" l="1"/>
  <c r="NB10" i="9"/>
  <c r="FW10" i="9"/>
  <c r="FJ10" i="9"/>
  <c r="HK10" i="6"/>
  <c r="GX10" i="6"/>
  <c r="MA6" i="6"/>
  <c r="LN6" i="6"/>
  <c r="EI22" i="5"/>
  <c r="DV22" i="5"/>
  <c r="CU22" i="5"/>
  <c r="CH22" i="5"/>
  <c r="TT46" i="5"/>
  <c r="S46" i="9"/>
  <c r="S11" i="9"/>
  <c r="TS46" i="5"/>
  <c r="QC6" i="6"/>
  <c r="QC40" i="6" s="1"/>
  <c r="GX6" i="4"/>
  <c r="QC43" i="6"/>
  <c r="GX43" i="4"/>
  <c r="QL40" i="6"/>
  <c r="QK40" i="6"/>
  <c r="QJ40" i="6"/>
  <c r="QI40" i="6"/>
  <c r="QH40" i="6"/>
  <c r="QG40" i="6"/>
  <c r="QF40" i="6"/>
  <c r="QE40" i="6"/>
  <c r="QD40" i="6"/>
  <c r="QB40" i="6"/>
  <c r="QA40" i="6"/>
  <c r="QM39" i="6"/>
  <c r="QM38" i="6"/>
  <c r="QM37" i="6"/>
  <c r="QM36" i="6"/>
  <c r="QM35" i="6"/>
  <c r="QM34" i="6"/>
  <c r="QM33" i="6"/>
  <c r="QM32" i="6"/>
  <c r="QM31" i="6"/>
  <c r="QM30" i="6"/>
  <c r="QM29" i="6"/>
  <c r="QM28" i="6"/>
  <c r="QM27" i="6"/>
  <c r="QM26" i="6"/>
  <c r="QM25" i="6"/>
  <c r="QM24" i="6"/>
  <c r="QM23" i="6"/>
  <c r="QM22" i="6"/>
  <c r="QM21" i="6"/>
  <c r="QM20" i="6"/>
  <c r="QM19" i="6"/>
  <c r="QM18" i="6"/>
  <c r="QM17" i="6"/>
  <c r="QM16" i="6"/>
  <c r="QM15" i="6"/>
  <c r="QM14" i="6"/>
  <c r="QM13" i="6"/>
  <c r="QM12" i="6"/>
  <c r="QM11" i="6"/>
  <c r="QM10" i="6"/>
  <c r="QM9" i="6"/>
  <c r="QM8" i="6"/>
  <c r="QM7" i="6"/>
  <c r="QM6" i="6" l="1"/>
  <c r="QM40" i="6"/>
  <c r="QP23" i="5"/>
  <c r="QC23" i="5"/>
  <c r="KL23" i="5"/>
  <c r="JY23" i="5"/>
  <c r="AD30" i="12" l="1"/>
  <c r="AD31" i="11"/>
  <c r="R5" i="12"/>
  <c r="S5" i="12"/>
  <c r="T5" i="12"/>
  <c r="U5" i="12"/>
  <c r="V5" i="12"/>
  <c r="W5" i="12"/>
  <c r="X5" i="12"/>
  <c r="Y5" i="12"/>
  <c r="Z5" i="12"/>
  <c r="AA5" i="12"/>
  <c r="AB5" i="12"/>
  <c r="Q5" i="12"/>
  <c r="AD5" i="12" s="1"/>
  <c r="R5" i="11"/>
  <c r="AE5" i="11" s="1"/>
  <c r="S5" i="11"/>
  <c r="AF5" i="11" s="1"/>
  <c r="T5" i="11"/>
  <c r="AG5" i="11" s="1"/>
  <c r="U5" i="11"/>
  <c r="AH5" i="11" s="1"/>
  <c r="V5" i="11"/>
  <c r="AI5" i="11" s="1"/>
  <c r="W5" i="11"/>
  <c r="AJ5" i="11" s="1"/>
  <c r="X5" i="11"/>
  <c r="AK5" i="11" s="1"/>
  <c r="Y5" i="11"/>
  <c r="AL5" i="11" s="1"/>
  <c r="Z5" i="11"/>
  <c r="AM5" i="11" s="1"/>
  <c r="AA5" i="11"/>
  <c r="AN5" i="11" s="1"/>
  <c r="AB5" i="11"/>
  <c r="AO5" i="11" s="1"/>
  <c r="Q5" i="11"/>
  <c r="AD5" i="11" s="1"/>
  <c r="AR150" i="15" l="1"/>
  <c r="AE150" i="15"/>
  <c r="R150" i="15"/>
  <c r="Q150" i="15"/>
  <c r="AM67" i="15"/>
  <c r="Z67" i="15"/>
  <c r="M67" i="15"/>
  <c r="W19" i="15"/>
  <c r="W20" i="15"/>
  <c r="AS16" i="15"/>
  <c r="AF16" i="15"/>
  <c r="S16" i="15"/>
  <c r="I150" i="15"/>
  <c r="FM71" i="15" l="1"/>
  <c r="EZ71" i="15"/>
  <c r="EM71" i="15"/>
  <c r="DY71" i="15"/>
  <c r="DL71" i="15"/>
  <c r="CY71" i="15"/>
  <c r="CK71" i="15"/>
  <c r="BX71" i="15"/>
  <c r="BK71" i="15"/>
  <c r="AW71" i="15"/>
  <c r="AJ71" i="15"/>
  <c r="W71" i="15"/>
  <c r="K73" i="15"/>
  <c r="W72" i="15"/>
  <c r="IW10" i="9"/>
  <c r="IJ10" i="9"/>
  <c r="Q6" i="2"/>
  <c r="D6" i="2"/>
  <c r="R5" i="14"/>
  <c r="AE5" i="14" s="1"/>
  <c r="S5" i="14"/>
  <c r="AF5" i="14" s="1"/>
  <c r="T5" i="14"/>
  <c r="AG5" i="14" s="1"/>
  <c r="U5" i="14"/>
  <c r="AH5" i="14" s="1"/>
  <c r="V5" i="14"/>
  <c r="AI5" i="14" s="1"/>
  <c r="W5" i="14"/>
  <c r="AJ5" i="14" s="1"/>
  <c r="X5" i="14"/>
  <c r="AK5" i="14" s="1"/>
  <c r="Y5" i="14"/>
  <c r="AL5" i="14" s="1"/>
  <c r="Z5" i="14"/>
  <c r="AM5" i="14" s="1"/>
  <c r="AA5" i="14"/>
  <c r="AN5" i="14" s="1"/>
  <c r="AB5" i="14"/>
  <c r="AO5" i="14" s="1"/>
  <c r="Q5" i="14"/>
  <c r="AD5" i="14" s="1"/>
  <c r="R5" i="13"/>
  <c r="AE5" i="13" s="1"/>
  <c r="S5" i="13"/>
  <c r="AF5" i="13" s="1"/>
  <c r="T5" i="13"/>
  <c r="AG5" i="13" s="1"/>
  <c r="U5" i="13"/>
  <c r="AH5" i="13" s="1"/>
  <c r="V5" i="13"/>
  <c r="AI5" i="13" s="1"/>
  <c r="W5" i="13"/>
  <c r="AJ5" i="13" s="1"/>
  <c r="X5" i="13"/>
  <c r="AK5" i="13" s="1"/>
  <c r="Y5" i="13"/>
  <c r="AL5" i="13" s="1"/>
  <c r="Z5" i="13"/>
  <c r="AM5" i="13" s="1"/>
  <c r="AA5" i="13"/>
  <c r="AN5" i="13" s="1"/>
  <c r="AB5" i="13"/>
  <c r="AO5" i="13" s="1"/>
  <c r="Q5" i="13"/>
  <c r="AD5" i="13" s="1"/>
  <c r="AE5" i="12"/>
  <c r="AS5" i="12" s="1"/>
  <c r="AF5" i="12"/>
  <c r="AT5" i="12" s="1"/>
  <c r="AG5" i="12"/>
  <c r="AU5" i="12" s="1"/>
  <c r="AH5" i="12"/>
  <c r="AV5" i="12" s="1"/>
  <c r="AI5" i="12"/>
  <c r="AW5" i="12" s="1"/>
  <c r="AJ5" i="12"/>
  <c r="AX5" i="12" s="1"/>
  <c r="AK5" i="12"/>
  <c r="AY5" i="12" s="1"/>
  <c r="AL5" i="12"/>
  <c r="AZ5" i="12" s="1"/>
  <c r="AM5" i="12"/>
  <c r="BA5" i="12" s="1"/>
  <c r="AN5" i="12"/>
  <c r="BB5" i="12" s="1"/>
  <c r="AO5" i="12"/>
  <c r="BC5" i="12" s="1"/>
  <c r="AR5" i="12"/>
  <c r="BA5" i="9"/>
  <c r="BN5" i="9" s="1"/>
  <c r="CA5" i="9" s="1"/>
  <c r="CO5" i="9" s="1"/>
  <c r="DB5" i="9" s="1"/>
  <c r="DO5" i="9" s="1"/>
  <c r="EC5" i="9" s="1"/>
  <c r="EP5" i="9" s="1"/>
  <c r="FC5" i="9" s="1"/>
  <c r="FQ5" i="9" s="1"/>
  <c r="GD5" i="9" s="1"/>
  <c r="GQ5" i="9" s="1"/>
  <c r="HE5" i="9" s="1"/>
  <c r="HR5" i="9" s="1"/>
  <c r="IE5" i="9" s="1"/>
  <c r="IS5" i="9" s="1"/>
  <c r="JF5" i="9" s="1"/>
  <c r="JS5" i="9" s="1"/>
  <c r="KG5" i="9" s="1"/>
  <c r="KT5" i="9" s="1"/>
  <c r="LG5" i="9" s="1"/>
  <c r="LU5" i="9" s="1"/>
  <c r="MH5" i="9" s="1"/>
  <c r="MU5" i="9" s="1"/>
  <c r="NI5" i="9" s="1"/>
  <c r="NV5" i="9" s="1"/>
  <c r="OI5" i="9" s="1"/>
  <c r="OW5" i="9" s="1"/>
  <c r="PJ5" i="9" s="1"/>
  <c r="PW5" i="9" s="1"/>
  <c r="QK5" i="9" s="1"/>
  <c r="QX5" i="9" s="1"/>
  <c r="RK5" i="9" s="1"/>
  <c r="RY5" i="9" s="1"/>
  <c r="SL5" i="9" s="1"/>
  <c r="SY5" i="9" s="1"/>
  <c r="TM5" i="9" s="1"/>
  <c r="TZ5" i="9" s="1"/>
  <c r="UM5" i="9" s="1"/>
  <c r="VA5" i="9" s="1"/>
  <c r="VN5" i="9" s="1"/>
  <c r="WA5" i="9" s="1"/>
  <c r="WO5" i="9" s="1"/>
  <c r="XB5" i="9" s="1"/>
  <c r="XO5" i="9" s="1"/>
  <c r="YC5" i="9" s="1"/>
  <c r="YP5" i="9" s="1"/>
  <c r="ZC5" i="9" s="1"/>
  <c r="ZQ5" i="9" s="1"/>
  <c r="AAD5" i="9" s="1"/>
  <c r="AAQ5" i="9" s="1"/>
  <c r="ABE5" i="9" s="1"/>
  <c r="ABR5" i="9" s="1"/>
  <c r="ACE5" i="9" s="1"/>
  <c r="ACS5" i="9" s="1"/>
  <c r="ADF5" i="9" s="1"/>
  <c r="ADS5" i="9" s="1"/>
  <c r="AEG5" i="9" s="1"/>
  <c r="AET5" i="9" s="1"/>
  <c r="AFG5" i="9" s="1"/>
  <c r="AFU5" i="9" s="1"/>
  <c r="AGH5" i="9" s="1"/>
  <c r="AGU5" i="9" s="1"/>
  <c r="AHI5" i="9" s="1"/>
  <c r="AHV5" i="9" s="1"/>
  <c r="AII5" i="9" s="1"/>
  <c r="AIW5" i="9" s="1"/>
  <c r="AJJ5" i="9" s="1"/>
  <c r="AJW5" i="9" s="1"/>
  <c r="AB5" i="9"/>
  <c r="AO5" i="9" s="1"/>
  <c r="BC5" i="9" s="1"/>
  <c r="BP5" i="9" s="1"/>
  <c r="CC5" i="9" s="1"/>
  <c r="CQ5" i="9" s="1"/>
  <c r="DD5" i="9" s="1"/>
  <c r="DQ5" i="9" s="1"/>
  <c r="EE5" i="9" s="1"/>
  <c r="ER5" i="9" s="1"/>
  <c r="FE5" i="9" s="1"/>
  <c r="FS5" i="9" s="1"/>
  <c r="GF5" i="9" s="1"/>
  <c r="GS5" i="9" s="1"/>
  <c r="HG5" i="9" s="1"/>
  <c r="HT5" i="9" s="1"/>
  <c r="IG5" i="9" s="1"/>
  <c r="IU5" i="9" s="1"/>
  <c r="JH5" i="9" s="1"/>
  <c r="JU5" i="9" s="1"/>
  <c r="KI5" i="9" s="1"/>
  <c r="KV5" i="9" s="1"/>
  <c r="LI5" i="9" s="1"/>
  <c r="LW5" i="9" s="1"/>
  <c r="MJ5" i="9" s="1"/>
  <c r="MW5" i="9" s="1"/>
  <c r="NK5" i="9" s="1"/>
  <c r="NX5" i="9" s="1"/>
  <c r="OK5" i="9" s="1"/>
  <c r="OY5" i="9" s="1"/>
  <c r="PL5" i="9" s="1"/>
  <c r="PY5" i="9" s="1"/>
  <c r="QM5" i="9" s="1"/>
  <c r="QZ5" i="9" s="1"/>
  <c r="RM5" i="9" s="1"/>
  <c r="SA5" i="9" s="1"/>
  <c r="SN5" i="9" s="1"/>
  <c r="TA5" i="9" s="1"/>
  <c r="TO5" i="9" s="1"/>
  <c r="UB5" i="9" s="1"/>
  <c r="UO5" i="9" s="1"/>
  <c r="VC5" i="9" s="1"/>
  <c r="VP5" i="9" s="1"/>
  <c r="WC5" i="9" s="1"/>
  <c r="WQ5" i="9" s="1"/>
  <c r="XD5" i="9" s="1"/>
  <c r="XQ5" i="9" s="1"/>
  <c r="YE5" i="9" s="1"/>
  <c r="YR5" i="9" s="1"/>
  <c r="ZE5" i="9" s="1"/>
  <c r="ZS5" i="9" s="1"/>
  <c r="AAF5" i="9" s="1"/>
  <c r="AAS5" i="9" s="1"/>
  <c r="ABG5" i="9" s="1"/>
  <c r="ABT5" i="9" s="1"/>
  <c r="ACG5" i="9" s="1"/>
  <c r="ACU5" i="9" s="1"/>
  <c r="ADH5" i="9" s="1"/>
  <c r="ADU5" i="9" s="1"/>
  <c r="AEI5" i="9" s="1"/>
  <c r="AEV5" i="9" s="1"/>
  <c r="AFI5" i="9" s="1"/>
  <c r="AFW5" i="9" s="1"/>
  <c r="AGJ5" i="9" s="1"/>
  <c r="AGW5" i="9" s="1"/>
  <c r="AHK5" i="9" s="1"/>
  <c r="AHX5" i="9" s="1"/>
  <c r="AIK5" i="9" s="1"/>
  <c r="AIY5" i="9" s="1"/>
  <c r="AJL5" i="9" s="1"/>
  <c r="AJY5" i="9" s="1"/>
  <c r="AA5" i="9"/>
  <c r="AN5" i="9" s="1"/>
  <c r="BB5" i="9" s="1"/>
  <c r="BO5" i="9" s="1"/>
  <c r="CB5" i="9" s="1"/>
  <c r="CP5" i="9" s="1"/>
  <c r="DC5" i="9" s="1"/>
  <c r="DP5" i="9" s="1"/>
  <c r="ED5" i="9" s="1"/>
  <c r="EQ5" i="9" s="1"/>
  <c r="FD5" i="9" s="1"/>
  <c r="FR5" i="9" s="1"/>
  <c r="GE5" i="9" s="1"/>
  <c r="GR5" i="9" s="1"/>
  <c r="HF5" i="9" s="1"/>
  <c r="HS5" i="9" s="1"/>
  <c r="IF5" i="9" s="1"/>
  <c r="IT5" i="9" s="1"/>
  <c r="JG5" i="9" s="1"/>
  <c r="JT5" i="9" s="1"/>
  <c r="KH5" i="9" s="1"/>
  <c r="KU5" i="9" s="1"/>
  <c r="LH5" i="9" s="1"/>
  <c r="LV5" i="9" s="1"/>
  <c r="MI5" i="9" s="1"/>
  <c r="MV5" i="9" s="1"/>
  <c r="NJ5" i="9" s="1"/>
  <c r="NW5" i="9" s="1"/>
  <c r="OJ5" i="9" s="1"/>
  <c r="OX5" i="9" s="1"/>
  <c r="PK5" i="9" s="1"/>
  <c r="PX5" i="9" s="1"/>
  <c r="QL5" i="9" s="1"/>
  <c r="QY5" i="9" s="1"/>
  <c r="RL5" i="9" s="1"/>
  <c r="RZ5" i="9" s="1"/>
  <c r="SM5" i="9" s="1"/>
  <c r="SZ5" i="9" s="1"/>
  <c r="TN5" i="9" s="1"/>
  <c r="UA5" i="9" s="1"/>
  <c r="UN5" i="9" s="1"/>
  <c r="VB5" i="9" s="1"/>
  <c r="VO5" i="9" s="1"/>
  <c r="WB5" i="9" s="1"/>
  <c r="WP5" i="9" s="1"/>
  <c r="XC5" i="9" s="1"/>
  <c r="XP5" i="9" s="1"/>
  <c r="YD5" i="9" s="1"/>
  <c r="YQ5" i="9" s="1"/>
  <c r="ZD5" i="9" s="1"/>
  <c r="ZR5" i="9" s="1"/>
  <c r="AAE5" i="9" s="1"/>
  <c r="AAR5" i="9" s="1"/>
  <c r="ABF5" i="9" s="1"/>
  <c r="ABS5" i="9" s="1"/>
  <c r="ACF5" i="9" s="1"/>
  <c r="ACT5" i="9" s="1"/>
  <c r="ADG5" i="9" s="1"/>
  <c r="ADT5" i="9" s="1"/>
  <c r="AEH5" i="9" s="1"/>
  <c r="AEU5" i="9" s="1"/>
  <c r="AFH5" i="9" s="1"/>
  <c r="AFV5" i="9" s="1"/>
  <c r="AGI5" i="9" s="1"/>
  <c r="AGV5" i="9" s="1"/>
  <c r="AHJ5" i="9" s="1"/>
  <c r="AHW5" i="9" s="1"/>
  <c r="AIJ5" i="9" s="1"/>
  <c r="AIX5" i="9" s="1"/>
  <c r="AJK5" i="9" s="1"/>
  <c r="AJX5" i="9" s="1"/>
  <c r="Z5" i="9"/>
  <c r="AM5" i="9" s="1"/>
  <c r="Y5" i="9"/>
  <c r="AL5" i="9" s="1"/>
  <c r="AZ5" i="9" s="1"/>
  <c r="BM5" i="9" s="1"/>
  <c r="BZ5" i="9" s="1"/>
  <c r="CN5" i="9" s="1"/>
  <c r="DA5" i="9" s="1"/>
  <c r="DN5" i="9" s="1"/>
  <c r="EB5" i="9" s="1"/>
  <c r="EO5" i="9" s="1"/>
  <c r="FB5" i="9" s="1"/>
  <c r="FP5" i="9" s="1"/>
  <c r="GC5" i="9" s="1"/>
  <c r="GP5" i="9" s="1"/>
  <c r="HD5" i="9" s="1"/>
  <c r="HQ5" i="9" s="1"/>
  <c r="ID5" i="9" s="1"/>
  <c r="IR5" i="9" s="1"/>
  <c r="JE5" i="9" s="1"/>
  <c r="JR5" i="9" s="1"/>
  <c r="KF5" i="9" s="1"/>
  <c r="KS5" i="9" s="1"/>
  <c r="LF5" i="9" s="1"/>
  <c r="LT5" i="9" s="1"/>
  <c r="MG5" i="9" s="1"/>
  <c r="MT5" i="9" s="1"/>
  <c r="NH5" i="9" s="1"/>
  <c r="NU5" i="9" s="1"/>
  <c r="OH5" i="9" s="1"/>
  <c r="OV5" i="9" s="1"/>
  <c r="PI5" i="9" s="1"/>
  <c r="PV5" i="9" s="1"/>
  <c r="QJ5" i="9" s="1"/>
  <c r="QW5" i="9" s="1"/>
  <c r="RJ5" i="9" s="1"/>
  <c r="RX5" i="9" s="1"/>
  <c r="SK5" i="9" s="1"/>
  <c r="SX5" i="9" s="1"/>
  <c r="TL5" i="9" s="1"/>
  <c r="TY5" i="9" s="1"/>
  <c r="UL5" i="9" s="1"/>
  <c r="UZ5" i="9" s="1"/>
  <c r="VM5" i="9" s="1"/>
  <c r="VZ5" i="9" s="1"/>
  <c r="WN5" i="9" s="1"/>
  <c r="XA5" i="9" s="1"/>
  <c r="XN5" i="9" s="1"/>
  <c r="YB5" i="9" s="1"/>
  <c r="YO5" i="9" s="1"/>
  <c r="ZB5" i="9" s="1"/>
  <c r="ZP5" i="9" s="1"/>
  <c r="AAC5" i="9" s="1"/>
  <c r="AAP5" i="9" s="1"/>
  <c r="ABD5" i="9" s="1"/>
  <c r="ABQ5" i="9" s="1"/>
  <c r="ACD5" i="9" s="1"/>
  <c r="ACR5" i="9" s="1"/>
  <c r="ADE5" i="9" s="1"/>
  <c r="ADR5" i="9" s="1"/>
  <c r="AEF5" i="9" s="1"/>
  <c r="AES5" i="9" s="1"/>
  <c r="AFF5" i="9" s="1"/>
  <c r="AFT5" i="9" s="1"/>
  <c r="AGG5" i="9" s="1"/>
  <c r="AGT5" i="9" s="1"/>
  <c r="AHH5" i="9" s="1"/>
  <c r="AHU5" i="9" s="1"/>
  <c r="AIH5" i="9" s="1"/>
  <c r="AIV5" i="9" s="1"/>
  <c r="AJI5" i="9" s="1"/>
  <c r="AJV5" i="9" s="1"/>
  <c r="X5" i="9"/>
  <c r="AK5" i="9" s="1"/>
  <c r="AY5" i="9" s="1"/>
  <c r="BL5" i="9" s="1"/>
  <c r="BY5" i="9" s="1"/>
  <c r="CM5" i="9" s="1"/>
  <c r="CZ5" i="9" s="1"/>
  <c r="DM5" i="9" s="1"/>
  <c r="EA5" i="9" s="1"/>
  <c r="EN5" i="9" s="1"/>
  <c r="FA5" i="9" s="1"/>
  <c r="FO5" i="9" s="1"/>
  <c r="GB5" i="9" s="1"/>
  <c r="GO5" i="9" s="1"/>
  <c r="HC5" i="9" s="1"/>
  <c r="HP5" i="9" s="1"/>
  <c r="IC5" i="9" s="1"/>
  <c r="IQ5" i="9" s="1"/>
  <c r="JD5" i="9" s="1"/>
  <c r="JQ5" i="9" s="1"/>
  <c r="KE5" i="9" s="1"/>
  <c r="KR5" i="9" s="1"/>
  <c r="LE5" i="9" s="1"/>
  <c r="LS5" i="9" s="1"/>
  <c r="MF5" i="9" s="1"/>
  <c r="MS5" i="9" s="1"/>
  <c r="NG5" i="9" s="1"/>
  <c r="NT5" i="9" s="1"/>
  <c r="OG5" i="9" s="1"/>
  <c r="OU5" i="9" s="1"/>
  <c r="PH5" i="9" s="1"/>
  <c r="PU5" i="9" s="1"/>
  <c r="QI5" i="9" s="1"/>
  <c r="QV5" i="9" s="1"/>
  <c r="RI5" i="9" s="1"/>
  <c r="RW5" i="9" s="1"/>
  <c r="SJ5" i="9" s="1"/>
  <c r="SW5" i="9" s="1"/>
  <c r="TK5" i="9" s="1"/>
  <c r="TX5" i="9" s="1"/>
  <c r="UK5" i="9" s="1"/>
  <c r="UY5" i="9" s="1"/>
  <c r="VL5" i="9" s="1"/>
  <c r="VY5" i="9" s="1"/>
  <c r="WM5" i="9" s="1"/>
  <c r="WZ5" i="9" s="1"/>
  <c r="XM5" i="9" s="1"/>
  <c r="YA5" i="9" s="1"/>
  <c r="YN5" i="9" s="1"/>
  <c r="ZA5" i="9" s="1"/>
  <c r="ZO5" i="9" s="1"/>
  <c r="AAB5" i="9" s="1"/>
  <c r="AAO5" i="9" s="1"/>
  <c r="ABC5" i="9" s="1"/>
  <c r="ABP5" i="9" s="1"/>
  <c r="ACC5" i="9" s="1"/>
  <c r="ACQ5" i="9" s="1"/>
  <c r="ADD5" i="9" s="1"/>
  <c r="ADQ5" i="9" s="1"/>
  <c r="AEE5" i="9" s="1"/>
  <c r="AER5" i="9" s="1"/>
  <c r="AFE5" i="9" s="1"/>
  <c r="AFS5" i="9" s="1"/>
  <c r="AGF5" i="9" s="1"/>
  <c r="AGS5" i="9" s="1"/>
  <c r="AHG5" i="9" s="1"/>
  <c r="AHT5" i="9" s="1"/>
  <c r="AIG5" i="9" s="1"/>
  <c r="AIU5" i="9" s="1"/>
  <c r="AJH5" i="9" s="1"/>
  <c r="AJU5" i="9" s="1"/>
  <c r="W5" i="9"/>
  <c r="AJ5" i="9" s="1"/>
  <c r="AX5" i="9" s="1"/>
  <c r="BK5" i="9" s="1"/>
  <c r="BX5" i="9" s="1"/>
  <c r="CL5" i="9" s="1"/>
  <c r="CY5" i="9" s="1"/>
  <c r="DL5" i="9" s="1"/>
  <c r="DZ5" i="9" s="1"/>
  <c r="EM5" i="9" s="1"/>
  <c r="EZ5" i="9" s="1"/>
  <c r="FN5" i="9" s="1"/>
  <c r="GA5" i="9" s="1"/>
  <c r="GN5" i="9" s="1"/>
  <c r="HB5" i="9" s="1"/>
  <c r="HO5" i="9" s="1"/>
  <c r="IB5" i="9" s="1"/>
  <c r="IP5" i="9" s="1"/>
  <c r="JC5" i="9" s="1"/>
  <c r="JP5" i="9" s="1"/>
  <c r="KD5" i="9" s="1"/>
  <c r="KQ5" i="9" s="1"/>
  <c r="LD5" i="9" s="1"/>
  <c r="LR5" i="9" s="1"/>
  <c r="ME5" i="9" s="1"/>
  <c r="MR5" i="9" s="1"/>
  <c r="NF5" i="9" s="1"/>
  <c r="NS5" i="9" s="1"/>
  <c r="OF5" i="9" s="1"/>
  <c r="OT5" i="9" s="1"/>
  <c r="PG5" i="9" s="1"/>
  <c r="PT5" i="9" s="1"/>
  <c r="QH5" i="9" s="1"/>
  <c r="QU5" i="9" s="1"/>
  <c r="RH5" i="9" s="1"/>
  <c r="RV5" i="9" s="1"/>
  <c r="SI5" i="9" s="1"/>
  <c r="SV5" i="9" s="1"/>
  <c r="TJ5" i="9" s="1"/>
  <c r="TW5" i="9" s="1"/>
  <c r="UJ5" i="9" s="1"/>
  <c r="UX5" i="9" s="1"/>
  <c r="VK5" i="9" s="1"/>
  <c r="VX5" i="9" s="1"/>
  <c r="WL5" i="9" s="1"/>
  <c r="WY5" i="9" s="1"/>
  <c r="XL5" i="9" s="1"/>
  <c r="XZ5" i="9" s="1"/>
  <c r="YM5" i="9" s="1"/>
  <c r="YZ5" i="9" s="1"/>
  <c r="ZN5" i="9" s="1"/>
  <c r="AAA5" i="9" s="1"/>
  <c r="AAN5" i="9" s="1"/>
  <c r="ABB5" i="9" s="1"/>
  <c r="ABO5" i="9" s="1"/>
  <c r="ACB5" i="9" s="1"/>
  <c r="ACP5" i="9" s="1"/>
  <c r="ADC5" i="9" s="1"/>
  <c r="ADP5" i="9" s="1"/>
  <c r="AED5" i="9" s="1"/>
  <c r="AEQ5" i="9" s="1"/>
  <c r="AFD5" i="9" s="1"/>
  <c r="AFR5" i="9" s="1"/>
  <c r="AGE5" i="9" s="1"/>
  <c r="AGR5" i="9" s="1"/>
  <c r="AHF5" i="9" s="1"/>
  <c r="AHS5" i="9" s="1"/>
  <c r="AIF5" i="9" s="1"/>
  <c r="AIT5" i="9" s="1"/>
  <c r="AJG5" i="9" s="1"/>
  <c r="AJT5" i="9" s="1"/>
  <c r="V5" i="9"/>
  <c r="AI5" i="9" s="1"/>
  <c r="AW5" i="9" s="1"/>
  <c r="BJ5" i="9" s="1"/>
  <c r="BW5" i="9" s="1"/>
  <c r="CK5" i="9" s="1"/>
  <c r="CX5" i="9" s="1"/>
  <c r="DK5" i="9" s="1"/>
  <c r="DY5" i="9" s="1"/>
  <c r="EL5" i="9" s="1"/>
  <c r="EY5" i="9" s="1"/>
  <c r="FM5" i="9" s="1"/>
  <c r="FZ5" i="9" s="1"/>
  <c r="GM5" i="9" s="1"/>
  <c r="HA5" i="9" s="1"/>
  <c r="HN5" i="9" s="1"/>
  <c r="IA5" i="9" s="1"/>
  <c r="IO5" i="9" s="1"/>
  <c r="JB5" i="9" s="1"/>
  <c r="JO5" i="9" s="1"/>
  <c r="KC5" i="9" s="1"/>
  <c r="KP5" i="9" s="1"/>
  <c r="LC5" i="9" s="1"/>
  <c r="LQ5" i="9" s="1"/>
  <c r="MD5" i="9" s="1"/>
  <c r="MQ5" i="9" s="1"/>
  <c r="NE5" i="9" s="1"/>
  <c r="NR5" i="9" s="1"/>
  <c r="OE5" i="9" s="1"/>
  <c r="OS5" i="9" s="1"/>
  <c r="PF5" i="9" s="1"/>
  <c r="PS5" i="9" s="1"/>
  <c r="QG5" i="9" s="1"/>
  <c r="QT5" i="9" s="1"/>
  <c r="RG5" i="9" s="1"/>
  <c r="RU5" i="9" s="1"/>
  <c r="SH5" i="9" s="1"/>
  <c r="SU5" i="9" s="1"/>
  <c r="TI5" i="9" s="1"/>
  <c r="TV5" i="9" s="1"/>
  <c r="UI5" i="9" s="1"/>
  <c r="UW5" i="9" s="1"/>
  <c r="VJ5" i="9" s="1"/>
  <c r="VW5" i="9" s="1"/>
  <c r="WK5" i="9" s="1"/>
  <c r="WX5" i="9" s="1"/>
  <c r="XK5" i="9" s="1"/>
  <c r="XY5" i="9" s="1"/>
  <c r="YL5" i="9" s="1"/>
  <c r="YY5" i="9" s="1"/>
  <c r="ZM5" i="9" s="1"/>
  <c r="ZZ5" i="9" s="1"/>
  <c r="AAM5" i="9" s="1"/>
  <c r="ABA5" i="9" s="1"/>
  <c r="ABN5" i="9" s="1"/>
  <c r="ACA5" i="9" s="1"/>
  <c r="ACO5" i="9" s="1"/>
  <c r="ADB5" i="9" s="1"/>
  <c r="ADO5" i="9" s="1"/>
  <c r="AEC5" i="9" s="1"/>
  <c r="AEP5" i="9" s="1"/>
  <c r="AFC5" i="9" s="1"/>
  <c r="AFQ5" i="9" s="1"/>
  <c r="AGD5" i="9" s="1"/>
  <c r="AGQ5" i="9" s="1"/>
  <c r="AHE5" i="9" s="1"/>
  <c r="AHR5" i="9" s="1"/>
  <c r="AIE5" i="9" s="1"/>
  <c r="AIS5" i="9" s="1"/>
  <c r="AJF5" i="9" s="1"/>
  <c r="AJS5" i="9" s="1"/>
  <c r="U5" i="9"/>
  <c r="AH5" i="9" s="1"/>
  <c r="AV5" i="9" s="1"/>
  <c r="BI5" i="9" s="1"/>
  <c r="BV5" i="9" s="1"/>
  <c r="CJ5" i="9" s="1"/>
  <c r="CW5" i="9" s="1"/>
  <c r="DJ5" i="9" s="1"/>
  <c r="DX5" i="9" s="1"/>
  <c r="EK5" i="9" s="1"/>
  <c r="EX5" i="9" s="1"/>
  <c r="FL5" i="9" s="1"/>
  <c r="FY5" i="9" s="1"/>
  <c r="GL5" i="9" s="1"/>
  <c r="GZ5" i="9" s="1"/>
  <c r="HM5" i="9" s="1"/>
  <c r="HZ5" i="9" s="1"/>
  <c r="IN5" i="9" s="1"/>
  <c r="JA5" i="9" s="1"/>
  <c r="JN5" i="9" s="1"/>
  <c r="KB5" i="9" s="1"/>
  <c r="KO5" i="9" s="1"/>
  <c r="LB5" i="9" s="1"/>
  <c r="LP5" i="9" s="1"/>
  <c r="MC5" i="9" s="1"/>
  <c r="MP5" i="9" s="1"/>
  <c r="ND5" i="9" s="1"/>
  <c r="NQ5" i="9" s="1"/>
  <c r="OD5" i="9" s="1"/>
  <c r="OR5" i="9" s="1"/>
  <c r="PE5" i="9" s="1"/>
  <c r="PR5" i="9" s="1"/>
  <c r="QF5" i="9" s="1"/>
  <c r="QS5" i="9" s="1"/>
  <c r="RF5" i="9" s="1"/>
  <c r="RT5" i="9" s="1"/>
  <c r="SG5" i="9" s="1"/>
  <c r="ST5" i="9" s="1"/>
  <c r="TH5" i="9" s="1"/>
  <c r="TU5" i="9" s="1"/>
  <c r="UH5" i="9" s="1"/>
  <c r="UV5" i="9" s="1"/>
  <c r="VI5" i="9" s="1"/>
  <c r="VV5" i="9" s="1"/>
  <c r="WJ5" i="9" s="1"/>
  <c r="WW5" i="9" s="1"/>
  <c r="XJ5" i="9" s="1"/>
  <c r="XX5" i="9" s="1"/>
  <c r="YK5" i="9" s="1"/>
  <c r="YX5" i="9" s="1"/>
  <c r="ZL5" i="9" s="1"/>
  <c r="ZY5" i="9" s="1"/>
  <c r="AAL5" i="9" s="1"/>
  <c r="AAZ5" i="9" s="1"/>
  <c r="ABM5" i="9" s="1"/>
  <c r="ABZ5" i="9" s="1"/>
  <c r="ACN5" i="9" s="1"/>
  <c r="ADA5" i="9" s="1"/>
  <c r="ADN5" i="9" s="1"/>
  <c r="AEB5" i="9" s="1"/>
  <c r="AEO5" i="9" s="1"/>
  <c r="AFB5" i="9" s="1"/>
  <c r="AFP5" i="9" s="1"/>
  <c r="AGC5" i="9" s="1"/>
  <c r="AGP5" i="9" s="1"/>
  <c r="AHD5" i="9" s="1"/>
  <c r="AHQ5" i="9" s="1"/>
  <c r="AID5" i="9" s="1"/>
  <c r="AIR5" i="9" s="1"/>
  <c r="AJE5" i="9" s="1"/>
  <c r="AJR5" i="9" s="1"/>
  <c r="T5" i="9"/>
  <c r="AG5" i="9" s="1"/>
  <c r="AU5" i="9" s="1"/>
  <c r="BH5" i="9" s="1"/>
  <c r="BU5" i="9" s="1"/>
  <c r="CI5" i="9" s="1"/>
  <c r="CV5" i="9" s="1"/>
  <c r="DI5" i="9" s="1"/>
  <c r="DW5" i="9" s="1"/>
  <c r="EJ5" i="9" s="1"/>
  <c r="EW5" i="9" s="1"/>
  <c r="FK5" i="9" s="1"/>
  <c r="FX5" i="9" s="1"/>
  <c r="GK5" i="9" s="1"/>
  <c r="GY5" i="9" s="1"/>
  <c r="HL5" i="9" s="1"/>
  <c r="HY5" i="9" s="1"/>
  <c r="IM5" i="9" s="1"/>
  <c r="IZ5" i="9" s="1"/>
  <c r="JM5" i="9" s="1"/>
  <c r="KA5" i="9" s="1"/>
  <c r="KN5" i="9" s="1"/>
  <c r="LA5" i="9" s="1"/>
  <c r="LO5" i="9" s="1"/>
  <c r="MB5" i="9" s="1"/>
  <c r="MO5" i="9" s="1"/>
  <c r="NC5" i="9" s="1"/>
  <c r="NP5" i="9" s="1"/>
  <c r="OC5" i="9" s="1"/>
  <c r="OQ5" i="9" s="1"/>
  <c r="PD5" i="9" s="1"/>
  <c r="PQ5" i="9" s="1"/>
  <c r="QE5" i="9" s="1"/>
  <c r="QR5" i="9" s="1"/>
  <c r="RE5" i="9" s="1"/>
  <c r="RS5" i="9" s="1"/>
  <c r="SF5" i="9" s="1"/>
  <c r="SS5" i="9" s="1"/>
  <c r="TG5" i="9" s="1"/>
  <c r="TT5" i="9" s="1"/>
  <c r="UG5" i="9" s="1"/>
  <c r="UU5" i="9" s="1"/>
  <c r="VH5" i="9" s="1"/>
  <c r="VU5" i="9" s="1"/>
  <c r="WI5" i="9" s="1"/>
  <c r="WV5" i="9" s="1"/>
  <c r="XI5" i="9" s="1"/>
  <c r="XW5" i="9" s="1"/>
  <c r="YJ5" i="9" s="1"/>
  <c r="YW5" i="9" s="1"/>
  <c r="ZK5" i="9" s="1"/>
  <c r="ZX5" i="9" s="1"/>
  <c r="AAK5" i="9" s="1"/>
  <c r="AAY5" i="9" s="1"/>
  <c r="ABL5" i="9" s="1"/>
  <c r="ABY5" i="9" s="1"/>
  <c r="ACM5" i="9" s="1"/>
  <c r="ACZ5" i="9" s="1"/>
  <c r="ADM5" i="9" s="1"/>
  <c r="AEA5" i="9" s="1"/>
  <c r="AEN5" i="9" s="1"/>
  <c r="AFA5" i="9" s="1"/>
  <c r="AFO5" i="9" s="1"/>
  <c r="AGB5" i="9" s="1"/>
  <c r="AGO5" i="9" s="1"/>
  <c r="AHC5" i="9" s="1"/>
  <c r="AHP5" i="9" s="1"/>
  <c r="AIC5" i="9" s="1"/>
  <c r="AIQ5" i="9" s="1"/>
  <c r="AJD5" i="9" s="1"/>
  <c r="AJQ5" i="9" s="1"/>
  <c r="S5" i="9"/>
  <c r="AF5" i="9" s="1"/>
  <c r="AT5" i="9" s="1"/>
  <c r="BG5" i="9" s="1"/>
  <c r="BT5" i="9" s="1"/>
  <c r="CH5" i="9" s="1"/>
  <c r="CU5" i="9" s="1"/>
  <c r="DH5" i="9" s="1"/>
  <c r="DV5" i="9" s="1"/>
  <c r="EI5" i="9" s="1"/>
  <c r="EV5" i="9" s="1"/>
  <c r="FJ5" i="9" s="1"/>
  <c r="FW5" i="9" s="1"/>
  <c r="GJ5" i="9" s="1"/>
  <c r="GX5" i="9" s="1"/>
  <c r="HK5" i="9" s="1"/>
  <c r="HX5" i="9" s="1"/>
  <c r="IL5" i="9" s="1"/>
  <c r="IY5" i="9" s="1"/>
  <c r="JL5" i="9" s="1"/>
  <c r="JZ5" i="9" s="1"/>
  <c r="KM5" i="9" s="1"/>
  <c r="KZ5" i="9" s="1"/>
  <c r="LN5" i="9" s="1"/>
  <c r="MA5" i="9" s="1"/>
  <c r="MN5" i="9" s="1"/>
  <c r="NB5" i="9" s="1"/>
  <c r="NO5" i="9" s="1"/>
  <c r="OB5" i="9" s="1"/>
  <c r="OP5" i="9" s="1"/>
  <c r="PC5" i="9" s="1"/>
  <c r="PP5" i="9" s="1"/>
  <c r="QD5" i="9" s="1"/>
  <c r="QQ5" i="9" s="1"/>
  <c r="RD5" i="9" s="1"/>
  <c r="RR5" i="9" s="1"/>
  <c r="SE5" i="9" s="1"/>
  <c r="SR5" i="9" s="1"/>
  <c r="TF5" i="9" s="1"/>
  <c r="TS5" i="9" s="1"/>
  <c r="UF5" i="9" s="1"/>
  <c r="UT5" i="9" s="1"/>
  <c r="VG5" i="9" s="1"/>
  <c r="VT5" i="9" s="1"/>
  <c r="WH5" i="9" s="1"/>
  <c r="WU5" i="9" s="1"/>
  <c r="XH5" i="9" s="1"/>
  <c r="XV5" i="9" s="1"/>
  <c r="YI5" i="9" s="1"/>
  <c r="YV5" i="9" s="1"/>
  <c r="ZJ5" i="9" s="1"/>
  <c r="ZW5" i="9" s="1"/>
  <c r="AAJ5" i="9" s="1"/>
  <c r="AAX5" i="9" s="1"/>
  <c r="ABK5" i="9" s="1"/>
  <c r="ABX5" i="9" s="1"/>
  <c r="ACL5" i="9" s="1"/>
  <c r="ACY5" i="9" s="1"/>
  <c r="ADL5" i="9" s="1"/>
  <c r="ADZ5" i="9" s="1"/>
  <c r="AEM5" i="9" s="1"/>
  <c r="AEZ5" i="9" s="1"/>
  <c r="AFN5" i="9" s="1"/>
  <c r="AGA5" i="9" s="1"/>
  <c r="AGN5" i="9" s="1"/>
  <c r="AHB5" i="9" s="1"/>
  <c r="AHO5" i="9" s="1"/>
  <c r="AIB5" i="9" s="1"/>
  <c r="AIP5" i="9" s="1"/>
  <c r="AJC5" i="9" s="1"/>
  <c r="AJP5" i="9" s="1"/>
  <c r="R5" i="9"/>
  <c r="AE5" i="9" s="1"/>
  <c r="AS5" i="9" s="1"/>
  <c r="BF5" i="9" s="1"/>
  <c r="BS5" i="9" s="1"/>
  <c r="CG5" i="9" s="1"/>
  <c r="CT5" i="9" s="1"/>
  <c r="DG5" i="9" s="1"/>
  <c r="DU5" i="9" s="1"/>
  <c r="EH5" i="9" s="1"/>
  <c r="EU5" i="9" s="1"/>
  <c r="FI5" i="9" s="1"/>
  <c r="FV5" i="9" s="1"/>
  <c r="GI5" i="9" s="1"/>
  <c r="GW5" i="9" s="1"/>
  <c r="HJ5" i="9" s="1"/>
  <c r="HW5" i="9" s="1"/>
  <c r="IK5" i="9" s="1"/>
  <c r="IX5" i="9" s="1"/>
  <c r="JK5" i="9" s="1"/>
  <c r="JY5" i="9" s="1"/>
  <c r="KL5" i="9" s="1"/>
  <c r="KY5" i="9" s="1"/>
  <c r="LM5" i="9" s="1"/>
  <c r="LZ5" i="9" s="1"/>
  <c r="MM5" i="9" s="1"/>
  <c r="NA5" i="9" s="1"/>
  <c r="NN5" i="9" s="1"/>
  <c r="OA5" i="9" s="1"/>
  <c r="OO5" i="9" s="1"/>
  <c r="PB5" i="9" s="1"/>
  <c r="PO5" i="9" s="1"/>
  <c r="QC5" i="9" s="1"/>
  <c r="QP5" i="9" s="1"/>
  <c r="RC5" i="9" s="1"/>
  <c r="RQ5" i="9" s="1"/>
  <c r="SD5" i="9" s="1"/>
  <c r="SQ5" i="9" s="1"/>
  <c r="TE5" i="9" s="1"/>
  <c r="TR5" i="9" s="1"/>
  <c r="UE5" i="9" s="1"/>
  <c r="US5" i="9" s="1"/>
  <c r="VF5" i="9" s="1"/>
  <c r="VS5" i="9" s="1"/>
  <c r="WG5" i="9" s="1"/>
  <c r="WT5" i="9" s="1"/>
  <c r="XG5" i="9" s="1"/>
  <c r="XU5" i="9" s="1"/>
  <c r="YH5" i="9" s="1"/>
  <c r="YU5" i="9" s="1"/>
  <c r="ZI5" i="9" s="1"/>
  <c r="ZV5" i="9" s="1"/>
  <c r="AAI5" i="9" s="1"/>
  <c r="AAW5" i="9" s="1"/>
  <c r="ABJ5" i="9" s="1"/>
  <c r="ABW5" i="9" s="1"/>
  <c r="ACK5" i="9" s="1"/>
  <c r="ACX5" i="9" s="1"/>
  <c r="ADK5" i="9" s="1"/>
  <c r="ADY5" i="9" s="1"/>
  <c r="AEL5" i="9" s="1"/>
  <c r="AEY5" i="9" s="1"/>
  <c r="AFM5" i="9" s="1"/>
  <c r="AFZ5" i="9" s="1"/>
  <c r="AGM5" i="9" s="1"/>
  <c r="AHA5" i="9" s="1"/>
  <c r="AHN5" i="9" s="1"/>
  <c r="AIA5" i="9" s="1"/>
  <c r="AIO5" i="9" s="1"/>
  <c r="AJB5" i="9" s="1"/>
  <c r="AJO5" i="9" s="1"/>
  <c r="Q5" i="9"/>
  <c r="AD5" i="9" s="1"/>
  <c r="AR5" i="9" s="1"/>
  <c r="BE5" i="9" s="1"/>
  <c r="BR5" i="9" s="1"/>
  <c r="CF5" i="9" s="1"/>
  <c r="CS5" i="9" s="1"/>
  <c r="DF5" i="9" s="1"/>
  <c r="DT5" i="9" s="1"/>
  <c r="EG5" i="9" s="1"/>
  <c r="ET5" i="9" s="1"/>
  <c r="FH5" i="9" s="1"/>
  <c r="FU5" i="9" s="1"/>
  <c r="GH5" i="9" s="1"/>
  <c r="GV5" i="9" s="1"/>
  <c r="HI5" i="9" s="1"/>
  <c r="HV5" i="9" s="1"/>
  <c r="IJ5" i="9" s="1"/>
  <c r="IW5" i="9" s="1"/>
  <c r="JJ5" i="9" s="1"/>
  <c r="JX5" i="9" s="1"/>
  <c r="KK5" i="9" s="1"/>
  <c r="KX5" i="9" s="1"/>
  <c r="LL5" i="9" s="1"/>
  <c r="LY5" i="9" s="1"/>
  <c r="ML5" i="9" s="1"/>
  <c r="MZ5" i="9" s="1"/>
  <c r="NM5" i="9" s="1"/>
  <c r="NZ5" i="9" s="1"/>
  <c r="ON5" i="9" s="1"/>
  <c r="PA5" i="9" s="1"/>
  <c r="PN5" i="9" s="1"/>
  <c r="QB5" i="9" s="1"/>
  <c r="QO5" i="9" s="1"/>
  <c r="RB5" i="9" s="1"/>
  <c r="RP5" i="9" s="1"/>
  <c r="SC5" i="9" s="1"/>
  <c r="SP5" i="9" s="1"/>
  <c r="TD5" i="9" s="1"/>
  <c r="TQ5" i="9" s="1"/>
  <c r="UD5" i="9" s="1"/>
  <c r="UR5" i="9" s="1"/>
  <c r="VE5" i="9" s="1"/>
  <c r="VR5" i="9" s="1"/>
  <c r="WF5" i="9" s="1"/>
  <c r="WS5" i="9" s="1"/>
  <c r="XF5" i="9" s="1"/>
  <c r="XT5" i="9" s="1"/>
  <c r="YG5" i="9" s="1"/>
  <c r="YT5" i="9" s="1"/>
  <c r="ZH5" i="9" s="1"/>
  <c r="ZU5" i="9" s="1"/>
  <c r="AAH5" i="9" s="1"/>
  <c r="AAV5" i="9" s="1"/>
  <c r="ABI5" i="9" s="1"/>
  <c r="ABV5" i="9" s="1"/>
  <c r="ACJ5" i="9" s="1"/>
  <c r="ACW5" i="9" s="1"/>
  <c r="ADJ5" i="9" s="1"/>
  <c r="ADX5" i="9" s="1"/>
  <c r="AEK5" i="9" s="1"/>
  <c r="AEX5" i="9" s="1"/>
  <c r="AFL5" i="9" s="1"/>
  <c r="AFY5" i="9" s="1"/>
  <c r="AGL5" i="9" s="1"/>
  <c r="AGZ5" i="9" s="1"/>
  <c r="AHM5" i="9" s="1"/>
  <c r="AHZ5" i="9" s="1"/>
  <c r="AIN5" i="9" s="1"/>
  <c r="AJA5" i="9" s="1"/>
  <c r="AJN5" i="9" s="1"/>
  <c r="R5" i="16"/>
  <c r="AE5" i="16" s="1"/>
  <c r="S5" i="16"/>
  <c r="AF5" i="16" s="1"/>
  <c r="T5" i="16"/>
  <c r="AG5" i="16" s="1"/>
  <c r="U5" i="16"/>
  <c r="AH5" i="16" s="1"/>
  <c r="V5" i="16"/>
  <c r="AI5" i="16" s="1"/>
  <c r="W5" i="16"/>
  <c r="AJ5" i="16" s="1"/>
  <c r="X5" i="16"/>
  <c r="AK5" i="16" s="1"/>
  <c r="Y5" i="16"/>
  <c r="AL5" i="16" s="1"/>
  <c r="Z5" i="16"/>
  <c r="AM5" i="16" s="1"/>
  <c r="AA5" i="16"/>
  <c r="AN5" i="16" s="1"/>
  <c r="AB5" i="16"/>
  <c r="AO5" i="16" s="1"/>
  <c r="Q5" i="16"/>
  <c r="AD5" i="16" s="1"/>
  <c r="AX5" i="8"/>
  <c r="BK5" i="8" s="1"/>
  <c r="BX5" i="8" s="1"/>
  <c r="CL5" i="8" s="1"/>
  <c r="CY5" i="8" s="1"/>
  <c r="DL5" i="8" s="1"/>
  <c r="DZ5" i="8" s="1"/>
  <c r="EM5" i="8" s="1"/>
  <c r="EZ5" i="8" s="1"/>
  <c r="FN5" i="8" s="1"/>
  <c r="GA5" i="8" s="1"/>
  <c r="GN5" i="8" s="1"/>
  <c r="HB5" i="8" s="1"/>
  <c r="HO5" i="8" s="1"/>
  <c r="IB5" i="8" s="1"/>
  <c r="IP5" i="8" s="1"/>
  <c r="JC5" i="8" s="1"/>
  <c r="JP5" i="8" s="1"/>
  <c r="KD5" i="8" s="1"/>
  <c r="KQ5" i="8" s="1"/>
  <c r="LD5" i="8" s="1"/>
  <c r="LR5" i="8" s="1"/>
  <c r="ME5" i="8" s="1"/>
  <c r="MR5" i="8" s="1"/>
  <c r="NF5" i="8" s="1"/>
  <c r="NS5" i="8" s="1"/>
  <c r="OF5" i="8" s="1"/>
  <c r="AJ5" i="8"/>
  <c r="R5" i="8"/>
  <c r="AE5" i="8" s="1"/>
  <c r="AS5" i="8" s="1"/>
  <c r="BF5" i="8" s="1"/>
  <c r="BS5" i="8" s="1"/>
  <c r="CG5" i="8" s="1"/>
  <c r="CT5" i="8" s="1"/>
  <c r="DG5" i="8" s="1"/>
  <c r="DU5" i="8" s="1"/>
  <c r="EH5" i="8" s="1"/>
  <c r="EU5" i="8" s="1"/>
  <c r="FI5" i="8" s="1"/>
  <c r="FV5" i="8" s="1"/>
  <c r="GI5" i="8" s="1"/>
  <c r="GW5" i="8" s="1"/>
  <c r="HJ5" i="8" s="1"/>
  <c r="HW5" i="8" s="1"/>
  <c r="IK5" i="8" s="1"/>
  <c r="IX5" i="8" s="1"/>
  <c r="JK5" i="8" s="1"/>
  <c r="JY5" i="8" s="1"/>
  <c r="KL5" i="8" s="1"/>
  <c r="KY5" i="8" s="1"/>
  <c r="LM5" i="8" s="1"/>
  <c r="LZ5" i="8" s="1"/>
  <c r="MM5" i="8" s="1"/>
  <c r="NA5" i="8" s="1"/>
  <c r="NN5" i="8" s="1"/>
  <c r="OA5" i="8" s="1"/>
  <c r="S5" i="8"/>
  <c r="AF5" i="8" s="1"/>
  <c r="AT5" i="8" s="1"/>
  <c r="BG5" i="8" s="1"/>
  <c r="BT5" i="8" s="1"/>
  <c r="CH5" i="8" s="1"/>
  <c r="CU5" i="8" s="1"/>
  <c r="DH5" i="8" s="1"/>
  <c r="DV5" i="8" s="1"/>
  <c r="EI5" i="8" s="1"/>
  <c r="EV5" i="8" s="1"/>
  <c r="FJ5" i="8" s="1"/>
  <c r="FW5" i="8" s="1"/>
  <c r="GJ5" i="8" s="1"/>
  <c r="GX5" i="8" s="1"/>
  <c r="HK5" i="8" s="1"/>
  <c r="HX5" i="8" s="1"/>
  <c r="IL5" i="8" s="1"/>
  <c r="IY5" i="8" s="1"/>
  <c r="JL5" i="8" s="1"/>
  <c r="JZ5" i="8" s="1"/>
  <c r="KM5" i="8" s="1"/>
  <c r="KZ5" i="8" s="1"/>
  <c r="LN5" i="8" s="1"/>
  <c r="MA5" i="8" s="1"/>
  <c r="MN5" i="8" s="1"/>
  <c r="NB5" i="8" s="1"/>
  <c r="NO5" i="8" s="1"/>
  <c r="OB5" i="8" s="1"/>
  <c r="T5" i="8"/>
  <c r="AG5" i="8" s="1"/>
  <c r="AU5" i="8" s="1"/>
  <c r="BH5" i="8" s="1"/>
  <c r="BU5" i="8" s="1"/>
  <c r="CI5" i="8" s="1"/>
  <c r="CV5" i="8" s="1"/>
  <c r="DI5" i="8" s="1"/>
  <c r="DW5" i="8" s="1"/>
  <c r="EJ5" i="8" s="1"/>
  <c r="EW5" i="8" s="1"/>
  <c r="FK5" i="8" s="1"/>
  <c r="FX5" i="8" s="1"/>
  <c r="GK5" i="8" s="1"/>
  <c r="GY5" i="8" s="1"/>
  <c r="HL5" i="8" s="1"/>
  <c r="HY5" i="8" s="1"/>
  <c r="IM5" i="8" s="1"/>
  <c r="IZ5" i="8" s="1"/>
  <c r="JM5" i="8" s="1"/>
  <c r="KA5" i="8" s="1"/>
  <c r="KN5" i="8" s="1"/>
  <c r="LA5" i="8" s="1"/>
  <c r="LO5" i="8" s="1"/>
  <c r="MB5" i="8" s="1"/>
  <c r="MO5" i="8" s="1"/>
  <c r="NC5" i="8" s="1"/>
  <c r="NP5" i="8" s="1"/>
  <c r="OC5" i="8" s="1"/>
  <c r="U5" i="8"/>
  <c r="AH5" i="8" s="1"/>
  <c r="AV5" i="8" s="1"/>
  <c r="BI5" i="8" s="1"/>
  <c r="BV5" i="8" s="1"/>
  <c r="CJ5" i="8" s="1"/>
  <c r="CW5" i="8" s="1"/>
  <c r="DJ5" i="8" s="1"/>
  <c r="DX5" i="8" s="1"/>
  <c r="EK5" i="8" s="1"/>
  <c r="EX5" i="8" s="1"/>
  <c r="FL5" i="8" s="1"/>
  <c r="FY5" i="8" s="1"/>
  <c r="GL5" i="8" s="1"/>
  <c r="GZ5" i="8" s="1"/>
  <c r="HM5" i="8" s="1"/>
  <c r="HZ5" i="8" s="1"/>
  <c r="IN5" i="8" s="1"/>
  <c r="JA5" i="8" s="1"/>
  <c r="JN5" i="8" s="1"/>
  <c r="KB5" i="8" s="1"/>
  <c r="KO5" i="8" s="1"/>
  <c r="LB5" i="8" s="1"/>
  <c r="LP5" i="8" s="1"/>
  <c r="MC5" i="8" s="1"/>
  <c r="MP5" i="8" s="1"/>
  <c r="ND5" i="8" s="1"/>
  <c r="NQ5" i="8" s="1"/>
  <c r="OD5" i="8" s="1"/>
  <c r="V5" i="8"/>
  <c r="AI5" i="8" s="1"/>
  <c r="AW5" i="8" s="1"/>
  <c r="BJ5" i="8" s="1"/>
  <c r="BW5" i="8" s="1"/>
  <c r="CK5" i="8" s="1"/>
  <c r="CX5" i="8" s="1"/>
  <c r="DK5" i="8" s="1"/>
  <c r="DY5" i="8" s="1"/>
  <c r="EL5" i="8" s="1"/>
  <c r="EY5" i="8" s="1"/>
  <c r="FM5" i="8" s="1"/>
  <c r="FZ5" i="8" s="1"/>
  <c r="GM5" i="8" s="1"/>
  <c r="HA5" i="8" s="1"/>
  <c r="HN5" i="8" s="1"/>
  <c r="IA5" i="8" s="1"/>
  <c r="IO5" i="8" s="1"/>
  <c r="JB5" i="8" s="1"/>
  <c r="JO5" i="8" s="1"/>
  <c r="KC5" i="8" s="1"/>
  <c r="KP5" i="8" s="1"/>
  <c r="LC5" i="8" s="1"/>
  <c r="LQ5" i="8" s="1"/>
  <c r="MD5" i="8" s="1"/>
  <c r="MQ5" i="8" s="1"/>
  <c r="NE5" i="8" s="1"/>
  <c r="NR5" i="8" s="1"/>
  <c r="OE5" i="8" s="1"/>
  <c r="W5" i="8"/>
  <c r="X5" i="8"/>
  <c r="AK5" i="8" s="1"/>
  <c r="AY5" i="8" s="1"/>
  <c r="BL5" i="8" s="1"/>
  <c r="BY5" i="8" s="1"/>
  <c r="CM5" i="8" s="1"/>
  <c r="CZ5" i="8" s="1"/>
  <c r="DM5" i="8" s="1"/>
  <c r="EA5" i="8" s="1"/>
  <c r="EN5" i="8" s="1"/>
  <c r="FA5" i="8" s="1"/>
  <c r="FO5" i="8" s="1"/>
  <c r="GB5" i="8" s="1"/>
  <c r="GO5" i="8" s="1"/>
  <c r="HC5" i="8" s="1"/>
  <c r="HP5" i="8" s="1"/>
  <c r="IC5" i="8" s="1"/>
  <c r="IQ5" i="8" s="1"/>
  <c r="JD5" i="8" s="1"/>
  <c r="JQ5" i="8" s="1"/>
  <c r="KE5" i="8" s="1"/>
  <c r="KR5" i="8" s="1"/>
  <c r="LE5" i="8" s="1"/>
  <c r="LS5" i="8" s="1"/>
  <c r="MF5" i="8" s="1"/>
  <c r="MS5" i="8" s="1"/>
  <c r="NG5" i="8" s="1"/>
  <c r="NT5" i="8" s="1"/>
  <c r="OG5" i="8" s="1"/>
  <c r="Y5" i="8"/>
  <c r="AL5" i="8" s="1"/>
  <c r="AZ5" i="8" s="1"/>
  <c r="BM5" i="8" s="1"/>
  <c r="BZ5" i="8" s="1"/>
  <c r="CN5" i="8" s="1"/>
  <c r="DA5" i="8" s="1"/>
  <c r="DN5" i="8" s="1"/>
  <c r="EB5" i="8" s="1"/>
  <c r="EO5" i="8" s="1"/>
  <c r="FB5" i="8" s="1"/>
  <c r="FP5" i="8" s="1"/>
  <c r="GC5" i="8" s="1"/>
  <c r="GP5" i="8" s="1"/>
  <c r="HD5" i="8" s="1"/>
  <c r="HQ5" i="8" s="1"/>
  <c r="ID5" i="8" s="1"/>
  <c r="IR5" i="8" s="1"/>
  <c r="JE5" i="8" s="1"/>
  <c r="JR5" i="8" s="1"/>
  <c r="KF5" i="8" s="1"/>
  <c r="KS5" i="8" s="1"/>
  <c r="LF5" i="8" s="1"/>
  <c r="LT5" i="8" s="1"/>
  <c r="MG5" i="8" s="1"/>
  <c r="MT5" i="8" s="1"/>
  <c r="NH5" i="8" s="1"/>
  <c r="NU5" i="8" s="1"/>
  <c r="OH5" i="8" s="1"/>
  <c r="Z5" i="8"/>
  <c r="AM5" i="8" s="1"/>
  <c r="BA5" i="8" s="1"/>
  <c r="BN5" i="8" s="1"/>
  <c r="CA5" i="8" s="1"/>
  <c r="CO5" i="8" s="1"/>
  <c r="DB5" i="8" s="1"/>
  <c r="DO5" i="8" s="1"/>
  <c r="EC5" i="8" s="1"/>
  <c r="EP5" i="8" s="1"/>
  <c r="FC5" i="8" s="1"/>
  <c r="FQ5" i="8" s="1"/>
  <c r="GD5" i="8" s="1"/>
  <c r="GQ5" i="8" s="1"/>
  <c r="HE5" i="8" s="1"/>
  <c r="HR5" i="8" s="1"/>
  <c r="IE5" i="8" s="1"/>
  <c r="IS5" i="8" s="1"/>
  <c r="JF5" i="8" s="1"/>
  <c r="JS5" i="8" s="1"/>
  <c r="KG5" i="8" s="1"/>
  <c r="KT5" i="8" s="1"/>
  <c r="LG5" i="8" s="1"/>
  <c r="LU5" i="8" s="1"/>
  <c r="MH5" i="8" s="1"/>
  <c r="MU5" i="8" s="1"/>
  <c r="NI5" i="8" s="1"/>
  <c r="NV5" i="8" s="1"/>
  <c r="OI5" i="8" s="1"/>
  <c r="AA5" i="8"/>
  <c r="AN5" i="8" s="1"/>
  <c r="BB5" i="8" s="1"/>
  <c r="BO5" i="8" s="1"/>
  <c r="CB5" i="8" s="1"/>
  <c r="CP5" i="8" s="1"/>
  <c r="DC5" i="8" s="1"/>
  <c r="DP5" i="8" s="1"/>
  <c r="ED5" i="8" s="1"/>
  <c r="EQ5" i="8" s="1"/>
  <c r="FD5" i="8" s="1"/>
  <c r="FR5" i="8" s="1"/>
  <c r="GE5" i="8" s="1"/>
  <c r="GR5" i="8" s="1"/>
  <c r="HF5" i="8" s="1"/>
  <c r="HS5" i="8" s="1"/>
  <c r="IF5" i="8" s="1"/>
  <c r="IT5" i="8" s="1"/>
  <c r="JG5" i="8" s="1"/>
  <c r="JT5" i="8" s="1"/>
  <c r="KH5" i="8" s="1"/>
  <c r="KU5" i="8" s="1"/>
  <c r="LH5" i="8" s="1"/>
  <c r="LV5" i="8" s="1"/>
  <c r="MI5" i="8" s="1"/>
  <c r="MV5" i="8" s="1"/>
  <c r="NJ5" i="8" s="1"/>
  <c r="NW5" i="8" s="1"/>
  <c r="OJ5" i="8" s="1"/>
  <c r="AB5" i="8"/>
  <c r="AO5" i="8" s="1"/>
  <c r="BC5" i="8" s="1"/>
  <c r="BP5" i="8" s="1"/>
  <c r="CC5" i="8" s="1"/>
  <c r="CQ5" i="8" s="1"/>
  <c r="DD5" i="8" s="1"/>
  <c r="DQ5" i="8" s="1"/>
  <c r="EE5" i="8" s="1"/>
  <c r="ER5" i="8" s="1"/>
  <c r="FE5" i="8" s="1"/>
  <c r="FS5" i="8" s="1"/>
  <c r="GF5" i="8" s="1"/>
  <c r="GS5" i="8" s="1"/>
  <c r="HG5" i="8" s="1"/>
  <c r="HT5" i="8" s="1"/>
  <c r="IG5" i="8" s="1"/>
  <c r="IU5" i="8" s="1"/>
  <c r="JH5" i="8" s="1"/>
  <c r="JU5" i="8" s="1"/>
  <c r="KI5" i="8" s="1"/>
  <c r="KV5" i="8" s="1"/>
  <c r="LI5" i="8" s="1"/>
  <c r="LW5" i="8" s="1"/>
  <c r="MJ5" i="8" s="1"/>
  <c r="MW5" i="8" s="1"/>
  <c r="NK5" i="8" s="1"/>
  <c r="NX5" i="8" s="1"/>
  <c r="OK5" i="8" s="1"/>
  <c r="Q5" i="8"/>
  <c r="AD5" i="8" s="1"/>
  <c r="AR5" i="8" s="1"/>
  <c r="BE5" i="8" s="1"/>
  <c r="BR5" i="8" s="1"/>
  <c r="CF5" i="8" s="1"/>
  <c r="CS5" i="8" s="1"/>
  <c r="DF5" i="8" s="1"/>
  <c r="DT5" i="8" s="1"/>
  <c r="EG5" i="8" s="1"/>
  <c r="ET5" i="8" s="1"/>
  <c r="FH5" i="8" s="1"/>
  <c r="FU5" i="8" s="1"/>
  <c r="GH5" i="8" s="1"/>
  <c r="GV5" i="8" s="1"/>
  <c r="HI5" i="8" s="1"/>
  <c r="HV5" i="8" s="1"/>
  <c r="IJ5" i="8" s="1"/>
  <c r="IW5" i="8" s="1"/>
  <c r="JJ5" i="8" s="1"/>
  <c r="JX5" i="8" s="1"/>
  <c r="KK5" i="8" s="1"/>
  <c r="KX5" i="8" s="1"/>
  <c r="LL5" i="8" s="1"/>
  <c r="LY5" i="8" s="1"/>
  <c r="ML5" i="8" s="1"/>
  <c r="MZ5" i="8" s="1"/>
  <c r="NM5" i="8" s="1"/>
  <c r="NZ5" i="8" s="1"/>
  <c r="R5" i="6"/>
  <c r="AE5" i="6" s="1"/>
  <c r="AS5" i="6" s="1"/>
  <c r="BF5" i="6" s="1"/>
  <c r="BS5" i="6" s="1"/>
  <c r="CG5" i="6" s="1"/>
  <c r="CT5" i="6" s="1"/>
  <c r="DG5" i="6" s="1"/>
  <c r="DU5" i="6" s="1"/>
  <c r="EH5" i="6" s="1"/>
  <c r="EU5" i="6" s="1"/>
  <c r="FI5" i="6" s="1"/>
  <c r="FV5" i="6" s="1"/>
  <c r="GI5" i="6" s="1"/>
  <c r="GW5" i="6" s="1"/>
  <c r="HJ5" i="6" s="1"/>
  <c r="HW5" i="6" s="1"/>
  <c r="IK5" i="6" s="1"/>
  <c r="IX5" i="6" s="1"/>
  <c r="JK5" i="6" s="1"/>
  <c r="JY5" i="6" s="1"/>
  <c r="KL5" i="6" s="1"/>
  <c r="KY5" i="6" s="1"/>
  <c r="LM5" i="6" s="1"/>
  <c r="LZ5" i="6" s="1"/>
  <c r="MM5" i="6" s="1"/>
  <c r="NA5" i="6" s="1"/>
  <c r="NN5" i="6" s="1"/>
  <c r="OA5" i="6" s="1"/>
  <c r="OO5" i="6" s="1"/>
  <c r="PB5" i="6" s="1"/>
  <c r="PO5" i="6" s="1"/>
  <c r="QB5" i="6" s="1"/>
  <c r="QO5" i="6" s="1"/>
  <c r="S5" i="6"/>
  <c r="AF5" i="6" s="1"/>
  <c r="AT5" i="6" s="1"/>
  <c r="BG5" i="6" s="1"/>
  <c r="BT5" i="6" s="1"/>
  <c r="CH5" i="6" s="1"/>
  <c r="CU5" i="6" s="1"/>
  <c r="DH5" i="6" s="1"/>
  <c r="DV5" i="6" s="1"/>
  <c r="EI5" i="6" s="1"/>
  <c r="EV5" i="6" s="1"/>
  <c r="FJ5" i="6" s="1"/>
  <c r="FW5" i="6" s="1"/>
  <c r="GJ5" i="6" s="1"/>
  <c r="GX5" i="6" s="1"/>
  <c r="HK5" i="6" s="1"/>
  <c r="HX5" i="6" s="1"/>
  <c r="IL5" i="6" s="1"/>
  <c r="IY5" i="6" s="1"/>
  <c r="JL5" i="6" s="1"/>
  <c r="JZ5" i="6" s="1"/>
  <c r="KM5" i="6" s="1"/>
  <c r="KZ5" i="6" s="1"/>
  <c r="LN5" i="6" s="1"/>
  <c r="MA5" i="6" s="1"/>
  <c r="MN5" i="6" s="1"/>
  <c r="NB5" i="6" s="1"/>
  <c r="NO5" i="6" s="1"/>
  <c r="OB5" i="6" s="1"/>
  <c r="OP5" i="6" s="1"/>
  <c r="PC5" i="6" s="1"/>
  <c r="PP5" i="6" s="1"/>
  <c r="QC5" i="6" s="1"/>
  <c r="QP5" i="6" s="1"/>
  <c r="T5" i="6"/>
  <c r="AG5" i="6" s="1"/>
  <c r="AU5" i="6" s="1"/>
  <c r="BH5" i="6" s="1"/>
  <c r="BU5" i="6" s="1"/>
  <c r="CI5" i="6" s="1"/>
  <c r="CV5" i="6" s="1"/>
  <c r="DI5" i="6" s="1"/>
  <c r="DW5" i="6" s="1"/>
  <c r="EJ5" i="6" s="1"/>
  <c r="EW5" i="6" s="1"/>
  <c r="FK5" i="6" s="1"/>
  <c r="FX5" i="6" s="1"/>
  <c r="GK5" i="6" s="1"/>
  <c r="GY5" i="6" s="1"/>
  <c r="HL5" i="6" s="1"/>
  <c r="HY5" i="6" s="1"/>
  <c r="IM5" i="6" s="1"/>
  <c r="IZ5" i="6" s="1"/>
  <c r="JM5" i="6" s="1"/>
  <c r="KA5" i="6" s="1"/>
  <c r="KN5" i="6" s="1"/>
  <c r="LA5" i="6" s="1"/>
  <c r="LO5" i="6" s="1"/>
  <c r="MB5" i="6" s="1"/>
  <c r="MO5" i="6" s="1"/>
  <c r="NC5" i="6" s="1"/>
  <c r="NP5" i="6" s="1"/>
  <c r="OC5" i="6" s="1"/>
  <c r="OQ5" i="6" s="1"/>
  <c r="PD5" i="6" s="1"/>
  <c r="PQ5" i="6" s="1"/>
  <c r="QD5" i="6" s="1"/>
  <c r="QQ5" i="6" s="1"/>
  <c r="U5" i="6"/>
  <c r="AH5" i="6" s="1"/>
  <c r="AV5" i="6" s="1"/>
  <c r="BI5" i="6" s="1"/>
  <c r="BV5" i="6" s="1"/>
  <c r="CJ5" i="6" s="1"/>
  <c r="CW5" i="6" s="1"/>
  <c r="DJ5" i="6" s="1"/>
  <c r="DX5" i="6" s="1"/>
  <c r="EK5" i="6" s="1"/>
  <c r="EX5" i="6" s="1"/>
  <c r="FL5" i="6" s="1"/>
  <c r="FY5" i="6" s="1"/>
  <c r="GL5" i="6" s="1"/>
  <c r="GZ5" i="6" s="1"/>
  <c r="HM5" i="6" s="1"/>
  <c r="HZ5" i="6" s="1"/>
  <c r="IN5" i="6" s="1"/>
  <c r="JA5" i="6" s="1"/>
  <c r="JN5" i="6" s="1"/>
  <c r="KB5" i="6" s="1"/>
  <c r="KO5" i="6" s="1"/>
  <c r="LB5" i="6" s="1"/>
  <c r="LP5" i="6" s="1"/>
  <c r="MC5" i="6" s="1"/>
  <c r="MP5" i="6" s="1"/>
  <c r="ND5" i="6" s="1"/>
  <c r="NQ5" i="6" s="1"/>
  <c r="OD5" i="6" s="1"/>
  <c r="OR5" i="6" s="1"/>
  <c r="PE5" i="6" s="1"/>
  <c r="PR5" i="6" s="1"/>
  <c r="QE5" i="6" s="1"/>
  <c r="QR5" i="6" s="1"/>
  <c r="V5" i="6"/>
  <c r="AI5" i="6" s="1"/>
  <c r="AW5" i="6" s="1"/>
  <c r="BJ5" i="6" s="1"/>
  <c r="BW5" i="6" s="1"/>
  <c r="CK5" i="6" s="1"/>
  <c r="CX5" i="6" s="1"/>
  <c r="DK5" i="6" s="1"/>
  <c r="DY5" i="6" s="1"/>
  <c r="EL5" i="6" s="1"/>
  <c r="EY5" i="6" s="1"/>
  <c r="FM5" i="6" s="1"/>
  <c r="FZ5" i="6" s="1"/>
  <c r="GM5" i="6" s="1"/>
  <c r="HA5" i="6" s="1"/>
  <c r="HN5" i="6" s="1"/>
  <c r="IA5" i="6" s="1"/>
  <c r="IO5" i="6" s="1"/>
  <c r="JB5" i="6" s="1"/>
  <c r="JO5" i="6" s="1"/>
  <c r="KC5" i="6" s="1"/>
  <c r="KP5" i="6" s="1"/>
  <c r="LC5" i="6" s="1"/>
  <c r="LQ5" i="6" s="1"/>
  <c r="MD5" i="6" s="1"/>
  <c r="MQ5" i="6" s="1"/>
  <c r="NE5" i="6" s="1"/>
  <c r="NR5" i="6" s="1"/>
  <c r="OE5" i="6" s="1"/>
  <c r="OS5" i="6" s="1"/>
  <c r="PF5" i="6" s="1"/>
  <c r="PS5" i="6" s="1"/>
  <c r="QF5" i="6" s="1"/>
  <c r="QS5" i="6" s="1"/>
  <c r="W5" i="6"/>
  <c r="AJ5" i="6" s="1"/>
  <c r="AX5" i="6" s="1"/>
  <c r="BK5" i="6" s="1"/>
  <c r="BX5" i="6" s="1"/>
  <c r="CL5" i="6" s="1"/>
  <c r="CY5" i="6" s="1"/>
  <c r="DL5" i="6" s="1"/>
  <c r="DZ5" i="6" s="1"/>
  <c r="EM5" i="6" s="1"/>
  <c r="EZ5" i="6" s="1"/>
  <c r="FN5" i="6" s="1"/>
  <c r="GA5" i="6" s="1"/>
  <c r="GN5" i="6" s="1"/>
  <c r="HB5" i="6" s="1"/>
  <c r="HO5" i="6" s="1"/>
  <c r="IB5" i="6" s="1"/>
  <c r="IP5" i="6" s="1"/>
  <c r="JC5" i="6" s="1"/>
  <c r="JP5" i="6" s="1"/>
  <c r="KD5" i="6" s="1"/>
  <c r="KQ5" i="6" s="1"/>
  <c r="LD5" i="6" s="1"/>
  <c r="LR5" i="6" s="1"/>
  <c r="ME5" i="6" s="1"/>
  <c r="MR5" i="6" s="1"/>
  <c r="NF5" i="6" s="1"/>
  <c r="NS5" i="6" s="1"/>
  <c r="OF5" i="6" s="1"/>
  <c r="OT5" i="6" s="1"/>
  <c r="PG5" i="6" s="1"/>
  <c r="PT5" i="6" s="1"/>
  <c r="QG5" i="6" s="1"/>
  <c r="QT5" i="6" s="1"/>
  <c r="X5" i="6"/>
  <c r="AK5" i="6" s="1"/>
  <c r="AY5" i="6" s="1"/>
  <c r="BL5" i="6" s="1"/>
  <c r="BY5" i="6" s="1"/>
  <c r="CM5" i="6" s="1"/>
  <c r="CZ5" i="6" s="1"/>
  <c r="DM5" i="6" s="1"/>
  <c r="EA5" i="6" s="1"/>
  <c r="EN5" i="6" s="1"/>
  <c r="FA5" i="6" s="1"/>
  <c r="FO5" i="6" s="1"/>
  <c r="GB5" i="6" s="1"/>
  <c r="GO5" i="6" s="1"/>
  <c r="HC5" i="6" s="1"/>
  <c r="HP5" i="6" s="1"/>
  <c r="IC5" i="6" s="1"/>
  <c r="IQ5" i="6" s="1"/>
  <c r="JD5" i="6" s="1"/>
  <c r="JQ5" i="6" s="1"/>
  <c r="KE5" i="6" s="1"/>
  <c r="KR5" i="6" s="1"/>
  <c r="LE5" i="6" s="1"/>
  <c r="LS5" i="6" s="1"/>
  <c r="MF5" i="6" s="1"/>
  <c r="MS5" i="6" s="1"/>
  <c r="NG5" i="6" s="1"/>
  <c r="NT5" i="6" s="1"/>
  <c r="OG5" i="6" s="1"/>
  <c r="OU5" i="6" s="1"/>
  <c r="PH5" i="6" s="1"/>
  <c r="PU5" i="6" s="1"/>
  <c r="QH5" i="6" s="1"/>
  <c r="QU5" i="6" s="1"/>
  <c r="Y5" i="6"/>
  <c r="AL5" i="6" s="1"/>
  <c r="AZ5" i="6" s="1"/>
  <c r="BM5" i="6" s="1"/>
  <c r="BZ5" i="6" s="1"/>
  <c r="CN5" i="6" s="1"/>
  <c r="DA5" i="6" s="1"/>
  <c r="DN5" i="6" s="1"/>
  <c r="EB5" i="6" s="1"/>
  <c r="EO5" i="6" s="1"/>
  <c r="FB5" i="6" s="1"/>
  <c r="FP5" i="6" s="1"/>
  <c r="GC5" i="6" s="1"/>
  <c r="GP5" i="6" s="1"/>
  <c r="HD5" i="6" s="1"/>
  <c r="HQ5" i="6" s="1"/>
  <c r="ID5" i="6" s="1"/>
  <c r="IR5" i="6" s="1"/>
  <c r="JE5" i="6" s="1"/>
  <c r="JR5" i="6" s="1"/>
  <c r="KF5" i="6" s="1"/>
  <c r="KS5" i="6" s="1"/>
  <c r="LF5" i="6" s="1"/>
  <c r="LT5" i="6" s="1"/>
  <c r="MG5" i="6" s="1"/>
  <c r="MT5" i="6" s="1"/>
  <c r="NH5" i="6" s="1"/>
  <c r="NU5" i="6" s="1"/>
  <c r="OH5" i="6" s="1"/>
  <c r="OV5" i="6" s="1"/>
  <c r="PI5" i="6" s="1"/>
  <c r="PV5" i="6" s="1"/>
  <c r="QI5" i="6" s="1"/>
  <c r="QV5" i="6" s="1"/>
  <c r="Z5" i="6"/>
  <c r="AM5" i="6" s="1"/>
  <c r="BA5" i="6" s="1"/>
  <c r="BN5" i="6" s="1"/>
  <c r="CA5" i="6" s="1"/>
  <c r="CO5" i="6" s="1"/>
  <c r="DB5" i="6" s="1"/>
  <c r="DO5" i="6" s="1"/>
  <c r="EC5" i="6" s="1"/>
  <c r="EP5" i="6" s="1"/>
  <c r="FC5" i="6" s="1"/>
  <c r="FQ5" i="6" s="1"/>
  <c r="GD5" i="6" s="1"/>
  <c r="GQ5" i="6" s="1"/>
  <c r="HE5" i="6" s="1"/>
  <c r="HR5" i="6" s="1"/>
  <c r="IE5" i="6" s="1"/>
  <c r="IS5" i="6" s="1"/>
  <c r="JF5" i="6" s="1"/>
  <c r="JS5" i="6" s="1"/>
  <c r="KG5" i="6" s="1"/>
  <c r="KT5" i="6" s="1"/>
  <c r="LG5" i="6" s="1"/>
  <c r="LU5" i="6" s="1"/>
  <c r="MH5" i="6" s="1"/>
  <c r="MU5" i="6" s="1"/>
  <c r="NI5" i="6" s="1"/>
  <c r="NV5" i="6" s="1"/>
  <c r="OI5" i="6" s="1"/>
  <c r="OW5" i="6" s="1"/>
  <c r="PJ5" i="6" s="1"/>
  <c r="PW5" i="6" s="1"/>
  <c r="QJ5" i="6" s="1"/>
  <c r="QW5" i="6" s="1"/>
  <c r="AA5" i="6"/>
  <c r="AN5" i="6" s="1"/>
  <c r="BB5" i="6" s="1"/>
  <c r="BO5" i="6" s="1"/>
  <c r="CB5" i="6" s="1"/>
  <c r="CP5" i="6" s="1"/>
  <c r="DC5" i="6" s="1"/>
  <c r="DP5" i="6" s="1"/>
  <c r="ED5" i="6" s="1"/>
  <c r="EQ5" i="6" s="1"/>
  <c r="FD5" i="6" s="1"/>
  <c r="FR5" i="6" s="1"/>
  <c r="GE5" i="6" s="1"/>
  <c r="GR5" i="6" s="1"/>
  <c r="HF5" i="6" s="1"/>
  <c r="HS5" i="6" s="1"/>
  <c r="IF5" i="6" s="1"/>
  <c r="IT5" i="6" s="1"/>
  <c r="JG5" i="6" s="1"/>
  <c r="JT5" i="6" s="1"/>
  <c r="KH5" i="6" s="1"/>
  <c r="KU5" i="6" s="1"/>
  <c r="LH5" i="6" s="1"/>
  <c r="LV5" i="6" s="1"/>
  <c r="MI5" i="6" s="1"/>
  <c r="MV5" i="6" s="1"/>
  <c r="NJ5" i="6" s="1"/>
  <c r="NW5" i="6" s="1"/>
  <c r="OJ5" i="6" s="1"/>
  <c r="OX5" i="6" s="1"/>
  <c r="PK5" i="6" s="1"/>
  <c r="PX5" i="6" s="1"/>
  <c r="QK5" i="6" s="1"/>
  <c r="QX5" i="6" s="1"/>
  <c r="AB5" i="6"/>
  <c r="AO5" i="6" s="1"/>
  <c r="BC5" i="6" s="1"/>
  <c r="BP5" i="6" s="1"/>
  <c r="CC5" i="6" s="1"/>
  <c r="CQ5" i="6" s="1"/>
  <c r="DD5" i="6" s="1"/>
  <c r="DQ5" i="6" s="1"/>
  <c r="EE5" i="6" s="1"/>
  <c r="ER5" i="6" s="1"/>
  <c r="FE5" i="6" s="1"/>
  <c r="FS5" i="6" s="1"/>
  <c r="GF5" i="6" s="1"/>
  <c r="GS5" i="6" s="1"/>
  <c r="HG5" i="6" s="1"/>
  <c r="HT5" i="6" s="1"/>
  <c r="IG5" i="6" s="1"/>
  <c r="IU5" i="6" s="1"/>
  <c r="JH5" i="6" s="1"/>
  <c r="JU5" i="6" s="1"/>
  <c r="KI5" i="6" s="1"/>
  <c r="KV5" i="6" s="1"/>
  <c r="LI5" i="6" s="1"/>
  <c r="LW5" i="6" s="1"/>
  <c r="MJ5" i="6" s="1"/>
  <c r="MW5" i="6" s="1"/>
  <c r="NK5" i="6" s="1"/>
  <c r="NX5" i="6" s="1"/>
  <c r="OK5" i="6" s="1"/>
  <c r="OY5" i="6" s="1"/>
  <c r="PL5" i="6" s="1"/>
  <c r="PY5" i="6" s="1"/>
  <c r="QL5" i="6" s="1"/>
  <c r="QY5" i="6" s="1"/>
  <c r="Q5" i="6"/>
  <c r="AD5" i="6" s="1"/>
  <c r="AR5" i="6" s="1"/>
  <c r="BE5" i="6" s="1"/>
  <c r="BR5" i="6" s="1"/>
  <c r="CF5" i="6" s="1"/>
  <c r="CS5" i="6" s="1"/>
  <c r="DF5" i="6" s="1"/>
  <c r="DT5" i="6" s="1"/>
  <c r="EG5" i="6" s="1"/>
  <c r="ET5" i="6" s="1"/>
  <c r="FH5" i="6" s="1"/>
  <c r="FU5" i="6" s="1"/>
  <c r="GH5" i="6" s="1"/>
  <c r="GV5" i="6" s="1"/>
  <c r="HI5" i="6" s="1"/>
  <c r="HV5" i="6" s="1"/>
  <c r="IJ5" i="6" s="1"/>
  <c r="IW5" i="6" s="1"/>
  <c r="JJ5" i="6" s="1"/>
  <c r="JX5" i="6" s="1"/>
  <c r="KK5" i="6" s="1"/>
  <c r="KX5" i="6" s="1"/>
  <c r="LL5" i="6" s="1"/>
  <c r="LY5" i="6" s="1"/>
  <c r="ML5" i="6" s="1"/>
  <c r="MZ5" i="6" s="1"/>
  <c r="NM5" i="6" s="1"/>
  <c r="NZ5" i="6" s="1"/>
  <c r="ON5" i="6" s="1"/>
  <c r="PA5" i="6" s="1"/>
  <c r="PN5" i="6" s="1"/>
  <c r="QA5" i="6" s="1"/>
  <c r="QN5" i="6" s="1"/>
  <c r="R5" i="5"/>
  <c r="AE5" i="5" s="1"/>
  <c r="AS5" i="5" s="1"/>
  <c r="BF5" i="5" s="1"/>
  <c r="BS5" i="5" s="1"/>
  <c r="CG5" i="5" s="1"/>
  <c r="CT5" i="5" s="1"/>
  <c r="DG5" i="5" s="1"/>
  <c r="DU5" i="5" s="1"/>
  <c r="EH5" i="5" s="1"/>
  <c r="EU5" i="5" s="1"/>
  <c r="FI5" i="5" s="1"/>
  <c r="FV5" i="5" s="1"/>
  <c r="GI5" i="5" s="1"/>
  <c r="GW5" i="5" s="1"/>
  <c r="HJ5" i="5" s="1"/>
  <c r="HW5" i="5" s="1"/>
  <c r="IK5" i="5" s="1"/>
  <c r="IX5" i="5" s="1"/>
  <c r="JK5" i="5" s="1"/>
  <c r="JY5" i="5" s="1"/>
  <c r="KL5" i="5" s="1"/>
  <c r="KY5" i="5" s="1"/>
  <c r="LM5" i="5" s="1"/>
  <c r="LZ5" i="5" s="1"/>
  <c r="MM5" i="5" s="1"/>
  <c r="NA5" i="5" s="1"/>
  <c r="NN5" i="5" s="1"/>
  <c r="OA5" i="5" s="1"/>
  <c r="OO5" i="5" s="1"/>
  <c r="PB5" i="5" s="1"/>
  <c r="PO5" i="5" s="1"/>
  <c r="QC5" i="5" s="1"/>
  <c r="QP5" i="5" s="1"/>
  <c r="RC5" i="5" s="1"/>
  <c r="RQ5" i="5" s="1"/>
  <c r="SD5" i="5" s="1"/>
  <c r="SQ5" i="5" s="1"/>
  <c r="TE5" i="5" s="1"/>
  <c r="TR5" i="5" s="1"/>
  <c r="UE5" i="5" s="1"/>
  <c r="US5" i="5" s="1"/>
  <c r="VF5" i="5" s="1"/>
  <c r="VS5" i="5" s="1"/>
  <c r="WF5" i="5" s="1"/>
  <c r="WS5" i="5" s="1"/>
  <c r="XF5" i="5" s="1"/>
  <c r="S5" i="5"/>
  <c r="AF5" i="5" s="1"/>
  <c r="AT5" i="5" s="1"/>
  <c r="BG5" i="5" s="1"/>
  <c r="BT5" i="5" s="1"/>
  <c r="CH5" i="5" s="1"/>
  <c r="CU5" i="5" s="1"/>
  <c r="DH5" i="5" s="1"/>
  <c r="DV5" i="5" s="1"/>
  <c r="EI5" i="5" s="1"/>
  <c r="EV5" i="5" s="1"/>
  <c r="FJ5" i="5" s="1"/>
  <c r="FW5" i="5" s="1"/>
  <c r="GJ5" i="5" s="1"/>
  <c r="GX5" i="5" s="1"/>
  <c r="HK5" i="5" s="1"/>
  <c r="HX5" i="5" s="1"/>
  <c r="IL5" i="5" s="1"/>
  <c r="IY5" i="5" s="1"/>
  <c r="JL5" i="5" s="1"/>
  <c r="JZ5" i="5" s="1"/>
  <c r="KM5" i="5" s="1"/>
  <c r="KZ5" i="5" s="1"/>
  <c r="LN5" i="5" s="1"/>
  <c r="MA5" i="5" s="1"/>
  <c r="MN5" i="5" s="1"/>
  <c r="NB5" i="5" s="1"/>
  <c r="NO5" i="5" s="1"/>
  <c r="OB5" i="5" s="1"/>
  <c r="OP5" i="5" s="1"/>
  <c r="PC5" i="5" s="1"/>
  <c r="PP5" i="5" s="1"/>
  <c r="QD5" i="5" s="1"/>
  <c r="QQ5" i="5" s="1"/>
  <c r="RD5" i="5" s="1"/>
  <c r="RR5" i="5" s="1"/>
  <c r="SE5" i="5" s="1"/>
  <c r="SR5" i="5" s="1"/>
  <c r="TF5" i="5" s="1"/>
  <c r="TS5" i="5" s="1"/>
  <c r="UF5" i="5" s="1"/>
  <c r="UT5" i="5" s="1"/>
  <c r="VG5" i="5" s="1"/>
  <c r="VT5" i="5" s="1"/>
  <c r="WG5" i="5" s="1"/>
  <c r="WT5" i="5" s="1"/>
  <c r="XG5" i="5" s="1"/>
  <c r="T5" i="5"/>
  <c r="AG5" i="5" s="1"/>
  <c r="AU5" i="5" s="1"/>
  <c r="BH5" i="5" s="1"/>
  <c r="BU5" i="5" s="1"/>
  <c r="CI5" i="5" s="1"/>
  <c r="CV5" i="5" s="1"/>
  <c r="DI5" i="5" s="1"/>
  <c r="DW5" i="5" s="1"/>
  <c r="EJ5" i="5" s="1"/>
  <c r="EW5" i="5" s="1"/>
  <c r="FK5" i="5" s="1"/>
  <c r="FX5" i="5" s="1"/>
  <c r="GK5" i="5" s="1"/>
  <c r="GY5" i="5" s="1"/>
  <c r="HL5" i="5" s="1"/>
  <c r="HY5" i="5" s="1"/>
  <c r="IM5" i="5" s="1"/>
  <c r="IZ5" i="5" s="1"/>
  <c r="JM5" i="5" s="1"/>
  <c r="KA5" i="5" s="1"/>
  <c r="KN5" i="5" s="1"/>
  <c r="LA5" i="5" s="1"/>
  <c r="LO5" i="5" s="1"/>
  <c r="MB5" i="5" s="1"/>
  <c r="MO5" i="5" s="1"/>
  <c r="NC5" i="5" s="1"/>
  <c r="NP5" i="5" s="1"/>
  <c r="OC5" i="5" s="1"/>
  <c r="OQ5" i="5" s="1"/>
  <c r="PD5" i="5" s="1"/>
  <c r="PQ5" i="5" s="1"/>
  <c r="QE5" i="5" s="1"/>
  <c r="QR5" i="5" s="1"/>
  <c r="RE5" i="5" s="1"/>
  <c r="RS5" i="5" s="1"/>
  <c r="SF5" i="5" s="1"/>
  <c r="SS5" i="5" s="1"/>
  <c r="TG5" i="5" s="1"/>
  <c r="TT5" i="5" s="1"/>
  <c r="UG5" i="5" s="1"/>
  <c r="UU5" i="5" s="1"/>
  <c r="VH5" i="5" s="1"/>
  <c r="VU5" i="5" s="1"/>
  <c r="WH5" i="5" s="1"/>
  <c r="WU5" i="5" s="1"/>
  <c r="XH5" i="5" s="1"/>
  <c r="U5" i="5"/>
  <c r="AH5" i="5" s="1"/>
  <c r="AV5" i="5" s="1"/>
  <c r="BI5" i="5" s="1"/>
  <c r="BV5" i="5" s="1"/>
  <c r="CJ5" i="5" s="1"/>
  <c r="CW5" i="5" s="1"/>
  <c r="DJ5" i="5" s="1"/>
  <c r="DX5" i="5" s="1"/>
  <c r="EK5" i="5" s="1"/>
  <c r="EX5" i="5" s="1"/>
  <c r="FL5" i="5" s="1"/>
  <c r="FY5" i="5" s="1"/>
  <c r="GL5" i="5" s="1"/>
  <c r="GZ5" i="5" s="1"/>
  <c r="HM5" i="5" s="1"/>
  <c r="HZ5" i="5" s="1"/>
  <c r="IN5" i="5" s="1"/>
  <c r="JA5" i="5" s="1"/>
  <c r="JN5" i="5" s="1"/>
  <c r="KB5" i="5" s="1"/>
  <c r="KO5" i="5" s="1"/>
  <c r="LB5" i="5" s="1"/>
  <c r="LP5" i="5" s="1"/>
  <c r="MC5" i="5" s="1"/>
  <c r="MP5" i="5" s="1"/>
  <c r="ND5" i="5" s="1"/>
  <c r="NQ5" i="5" s="1"/>
  <c r="OD5" i="5" s="1"/>
  <c r="OR5" i="5" s="1"/>
  <c r="PE5" i="5" s="1"/>
  <c r="PR5" i="5" s="1"/>
  <c r="QF5" i="5" s="1"/>
  <c r="QS5" i="5" s="1"/>
  <c r="RF5" i="5" s="1"/>
  <c r="RT5" i="5" s="1"/>
  <c r="SG5" i="5" s="1"/>
  <c r="ST5" i="5" s="1"/>
  <c r="TH5" i="5" s="1"/>
  <c r="TU5" i="5" s="1"/>
  <c r="UH5" i="5" s="1"/>
  <c r="UV5" i="5" s="1"/>
  <c r="VI5" i="5" s="1"/>
  <c r="VV5" i="5" s="1"/>
  <c r="WI5" i="5" s="1"/>
  <c r="WV5" i="5" s="1"/>
  <c r="XI5" i="5" s="1"/>
  <c r="V5" i="5"/>
  <c r="AI5" i="5" s="1"/>
  <c r="AW5" i="5" s="1"/>
  <c r="BJ5" i="5" s="1"/>
  <c r="BW5" i="5" s="1"/>
  <c r="CK5" i="5" s="1"/>
  <c r="CX5" i="5" s="1"/>
  <c r="DK5" i="5" s="1"/>
  <c r="DY5" i="5" s="1"/>
  <c r="EL5" i="5" s="1"/>
  <c r="EY5" i="5" s="1"/>
  <c r="FM5" i="5" s="1"/>
  <c r="FZ5" i="5" s="1"/>
  <c r="GM5" i="5" s="1"/>
  <c r="HA5" i="5" s="1"/>
  <c r="HN5" i="5" s="1"/>
  <c r="IA5" i="5" s="1"/>
  <c r="IO5" i="5" s="1"/>
  <c r="JB5" i="5" s="1"/>
  <c r="JO5" i="5" s="1"/>
  <c r="KC5" i="5" s="1"/>
  <c r="KP5" i="5" s="1"/>
  <c r="LC5" i="5" s="1"/>
  <c r="LQ5" i="5" s="1"/>
  <c r="MD5" i="5" s="1"/>
  <c r="MQ5" i="5" s="1"/>
  <c r="NE5" i="5" s="1"/>
  <c r="NR5" i="5" s="1"/>
  <c r="OE5" i="5" s="1"/>
  <c r="OS5" i="5" s="1"/>
  <c r="PF5" i="5" s="1"/>
  <c r="PS5" i="5" s="1"/>
  <c r="QG5" i="5" s="1"/>
  <c r="QT5" i="5" s="1"/>
  <c r="RG5" i="5" s="1"/>
  <c r="RU5" i="5" s="1"/>
  <c r="SH5" i="5" s="1"/>
  <c r="SU5" i="5" s="1"/>
  <c r="TI5" i="5" s="1"/>
  <c r="TV5" i="5" s="1"/>
  <c r="UI5" i="5" s="1"/>
  <c r="UW5" i="5" s="1"/>
  <c r="VJ5" i="5" s="1"/>
  <c r="VW5" i="5" s="1"/>
  <c r="WJ5" i="5" s="1"/>
  <c r="WW5" i="5" s="1"/>
  <c r="XJ5" i="5" s="1"/>
  <c r="W5" i="5"/>
  <c r="AJ5" i="5" s="1"/>
  <c r="AX5" i="5" s="1"/>
  <c r="BK5" i="5" s="1"/>
  <c r="BX5" i="5" s="1"/>
  <c r="CL5" i="5" s="1"/>
  <c r="CY5" i="5" s="1"/>
  <c r="DL5" i="5" s="1"/>
  <c r="DZ5" i="5" s="1"/>
  <c r="EM5" i="5" s="1"/>
  <c r="EZ5" i="5" s="1"/>
  <c r="FN5" i="5" s="1"/>
  <c r="GA5" i="5" s="1"/>
  <c r="GN5" i="5" s="1"/>
  <c r="HB5" i="5" s="1"/>
  <c r="HO5" i="5" s="1"/>
  <c r="IB5" i="5" s="1"/>
  <c r="IP5" i="5" s="1"/>
  <c r="JC5" i="5" s="1"/>
  <c r="JP5" i="5" s="1"/>
  <c r="KD5" i="5" s="1"/>
  <c r="KQ5" i="5" s="1"/>
  <c r="LD5" i="5" s="1"/>
  <c r="LR5" i="5" s="1"/>
  <c r="ME5" i="5" s="1"/>
  <c r="MR5" i="5" s="1"/>
  <c r="NF5" i="5" s="1"/>
  <c r="NS5" i="5" s="1"/>
  <c r="OF5" i="5" s="1"/>
  <c r="OT5" i="5" s="1"/>
  <c r="PG5" i="5" s="1"/>
  <c r="PT5" i="5" s="1"/>
  <c r="QH5" i="5" s="1"/>
  <c r="QU5" i="5" s="1"/>
  <c r="RH5" i="5" s="1"/>
  <c r="RV5" i="5" s="1"/>
  <c r="SI5" i="5" s="1"/>
  <c r="SV5" i="5" s="1"/>
  <c r="TJ5" i="5" s="1"/>
  <c r="TW5" i="5" s="1"/>
  <c r="UJ5" i="5" s="1"/>
  <c r="UX5" i="5" s="1"/>
  <c r="VK5" i="5" s="1"/>
  <c r="VX5" i="5" s="1"/>
  <c r="WK5" i="5" s="1"/>
  <c r="WX5" i="5" s="1"/>
  <c r="XK5" i="5" s="1"/>
  <c r="X5" i="5"/>
  <c r="AK5" i="5" s="1"/>
  <c r="AY5" i="5" s="1"/>
  <c r="BL5" i="5" s="1"/>
  <c r="BY5" i="5" s="1"/>
  <c r="CM5" i="5" s="1"/>
  <c r="CZ5" i="5" s="1"/>
  <c r="DM5" i="5" s="1"/>
  <c r="EA5" i="5" s="1"/>
  <c r="EN5" i="5" s="1"/>
  <c r="FA5" i="5" s="1"/>
  <c r="FO5" i="5" s="1"/>
  <c r="GB5" i="5" s="1"/>
  <c r="GO5" i="5" s="1"/>
  <c r="HC5" i="5" s="1"/>
  <c r="HP5" i="5" s="1"/>
  <c r="IC5" i="5" s="1"/>
  <c r="IQ5" i="5" s="1"/>
  <c r="JD5" i="5" s="1"/>
  <c r="JQ5" i="5" s="1"/>
  <c r="KE5" i="5" s="1"/>
  <c r="KR5" i="5" s="1"/>
  <c r="LE5" i="5" s="1"/>
  <c r="LS5" i="5" s="1"/>
  <c r="MF5" i="5" s="1"/>
  <c r="MS5" i="5" s="1"/>
  <c r="NG5" i="5" s="1"/>
  <c r="NT5" i="5" s="1"/>
  <c r="OG5" i="5" s="1"/>
  <c r="OU5" i="5" s="1"/>
  <c r="PH5" i="5" s="1"/>
  <c r="PU5" i="5" s="1"/>
  <c r="QI5" i="5" s="1"/>
  <c r="QV5" i="5" s="1"/>
  <c r="RI5" i="5" s="1"/>
  <c r="RW5" i="5" s="1"/>
  <c r="SJ5" i="5" s="1"/>
  <c r="SW5" i="5" s="1"/>
  <c r="TK5" i="5" s="1"/>
  <c r="TX5" i="5" s="1"/>
  <c r="UK5" i="5" s="1"/>
  <c r="UY5" i="5" s="1"/>
  <c r="VL5" i="5" s="1"/>
  <c r="VY5" i="5" s="1"/>
  <c r="WL5" i="5" s="1"/>
  <c r="WY5" i="5" s="1"/>
  <c r="XL5" i="5" s="1"/>
  <c r="Y5" i="5"/>
  <c r="AL5" i="5" s="1"/>
  <c r="AZ5" i="5" s="1"/>
  <c r="BM5" i="5" s="1"/>
  <c r="BZ5" i="5" s="1"/>
  <c r="CN5" i="5" s="1"/>
  <c r="DA5" i="5" s="1"/>
  <c r="DN5" i="5" s="1"/>
  <c r="EB5" i="5" s="1"/>
  <c r="EO5" i="5" s="1"/>
  <c r="FB5" i="5" s="1"/>
  <c r="FP5" i="5" s="1"/>
  <c r="GC5" i="5" s="1"/>
  <c r="GP5" i="5" s="1"/>
  <c r="HD5" i="5" s="1"/>
  <c r="HQ5" i="5" s="1"/>
  <c r="ID5" i="5" s="1"/>
  <c r="IR5" i="5" s="1"/>
  <c r="JE5" i="5" s="1"/>
  <c r="JR5" i="5" s="1"/>
  <c r="KF5" i="5" s="1"/>
  <c r="KS5" i="5" s="1"/>
  <c r="LF5" i="5" s="1"/>
  <c r="LT5" i="5" s="1"/>
  <c r="MG5" i="5" s="1"/>
  <c r="MT5" i="5" s="1"/>
  <c r="NH5" i="5" s="1"/>
  <c r="NU5" i="5" s="1"/>
  <c r="OH5" i="5" s="1"/>
  <c r="OV5" i="5" s="1"/>
  <c r="PI5" i="5" s="1"/>
  <c r="PV5" i="5" s="1"/>
  <c r="QJ5" i="5" s="1"/>
  <c r="QW5" i="5" s="1"/>
  <c r="RJ5" i="5" s="1"/>
  <c r="RX5" i="5" s="1"/>
  <c r="SK5" i="5" s="1"/>
  <c r="SX5" i="5" s="1"/>
  <c r="TL5" i="5" s="1"/>
  <c r="TY5" i="5" s="1"/>
  <c r="UL5" i="5" s="1"/>
  <c r="UZ5" i="5" s="1"/>
  <c r="VM5" i="5" s="1"/>
  <c r="VZ5" i="5" s="1"/>
  <c r="WM5" i="5" s="1"/>
  <c r="WZ5" i="5" s="1"/>
  <c r="XM5" i="5" s="1"/>
  <c r="Z5" i="5"/>
  <c r="AM5" i="5" s="1"/>
  <c r="BA5" i="5" s="1"/>
  <c r="BN5" i="5" s="1"/>
  <c r="CA5" i="5" s="1"/>
  <c r="CO5" i="5" s="1"/>
  <c r="DB5" i="5" s="1"/>
  <c r="DO5" i="5" s="1"/>
  <c r="EC5" i="5" s="1"/>
  <c r="EP5" i="5" s="1"/>
  <c r="FC5" i="5" s="1"/>
  <c r="FQ5" i="5" s="1"/>
  <c r="GD5" i="5" s="1"/>
  <c r="GQ5" i="5" s="1"/>
  <c r="HE5" i="5" s="1"/>
  <c r="HR5" i="5" s="1"/>
  <c r="IE5" i="5" s="1"/>
  <c r="IS5" i="5" s="1"/>
  <c r="JF5" i="5" s="1"/>
  <c r="JS5" i="5" s="1"/>
  <c r="KG5" i="5" s="1"/>
  <c r="KT5" i="5" s="1"/>
  <c r="LG5" i="5" s="1"/>
  <c r="LU5" i="5" s="1"/>
  <c r="MH5" i="5" s="1"/>
  <c r="MU5" i="5" s="1"/>
  <c r="NI5" i="5" s="1"/>
  <c r="NV5" i="5" s="1"/>
  <c r="OI5" i="5" s="1"/>
  <c r="OW5" i="5" s="1"/>
  <c r="PJ5" i="5" s="1"/>
  <c r="PW5" i="5" s="1"/>
  <c r="QK5" i="5" s="1"/>
  <c r="QX5" i="5" s="1"/>
  <c r="RK5" i="5" s="1"/>
  <c r="RY5" i="5" s="1"/>
  <c r="SL5" i="5" s="1"/>
  <c r="SY5" i="5" s="1"/>
  <c r="TM5" i="5" s="1"/>
  <c r="TZ5" i="5" s="1"/>
  <c r="UM5" i="5" s="1"/>
  <c r="VA5" i="5" s="1"/>
  <c r="VN5" i="5" s="1"/>
  <c r="WA5" i="5" s="1"/>
  <c r="WN5" i="5" s="1"/>
  <c r="XA5" i="5" s="1"/>
  <c r="XN5" i="5" s="1"/>
  <c r="AA5" i="5"/>
  <c r="AN5" i="5" s="1"/>
  <c r="BB5" i="5" s="1"/>
  <c r="BO5" i="5" s="1"/>
  <c r="CB5" i="5" s="1"/>
  <c r="CP5" i="5" s="1"/>
  <c r="DC5" i="5" s="1"/>
  <c r="DP5" i="5" s="1"/>
  <c r="ED5" i="5" s="1"/>
  <c r="EQ5" i="5" s="1"/>
  <c r="FD5" i="5" s="1"/>
  <c r="FR5" i="5" s="1"/>
  <c r="GE5" i="5" s="1"/>
  <c r="GR5" i="5" s="1"/>
  <c r="HF5" i="5" s="1"/>
  <c r="HS5" i="5" s="1"/>
  <c r="IF5" i="5" s="1"/>
  <c r="IT5" i="5" s="1"/>
  <c r="JG5" i="5" s="1"/>
  <c r="JT5" i="5" s="1"/>
  <c r="KH5" i="5" s="1"/>
  <c r="KU5" i="5" s="1"/>
  <c r="LH5" i="5" s="1"/>
  <c r="LV5" i="5" s="1"/>
  <c r="MI5" i="5" s="1"/>
  <c r="MV5" i="5" s="1"/>
  <c r="NJ5" i="5" s="1"/>
  <c r="NW5" i="5" s="1"/>
  <c r="OJ5" i="5" s="1"/>
  <c r="OX5" i="5" s="1"/>
  <c r="PK5" i="5" s="1"/>
  <c r="PX5" i="5" s="1"/>
  <c r="QL5" i="5" s="1"/>
  <c r="QY5" i="5" s="1"/>
  <c r="RL5" i="5" s="1"/>
  <c r="RZ5" i="5" s="1"/>
  <c r="SM5" i="5" s="1"/>
  <c r="SZ5" i="5" s="1"/>
  <c r="TN5" i="5" s="1"/>
  <c r="UA5" i="5" s="1"/>
  <c r="UN5" i="5" s="1"/>
  <c r="VB5" i="5" s="1"/>
  <c r="VO5" i="5" s="1"/>
  <c r="WB5" i="5" s="1"/>
  <c r="WO5" i="5" s="1"/>
  <c r="XB5" i="5" s="1"/>
  <c r="XO5" i="5" s="1"/>
  <c r="AB5" i="5"/>
  <c r="AO5" i="5" s="1"/>
  <c r="BC5" i="5" s="1"/>
  <c r="BP5" i="5" s="1"/>
  <c r="CC5" i="5" s="1"/>
  <c r="CQ5" i="5" s="1"/>
  <c r="DD5" i="5" s="1"/>
  <c r="DQ5" i="5" s="1"/>
  <c r="EE5" i="5" s="1"/>
  <c r="ER5" i="5" s="1"/>
  <c r="FE5" i="5" s="1"/>
  <c r="FS5" i="5" s="1"/>
  <c r="GF5" i="5" s="1"/>
  <c r="GS5" i="5" s="1"/>
  <c r="HG5" i="5" s="1"/>
  <c r="HT5" i="5" s="1"/>
  <c r="IG5" i="5" s="1"/>
  <c r="IU5" i="5" s="1"/>
  <c r="JH5" i="5" s="1"/>
  <c r="JU5" i="5" s="1"/>
  <c r="KI5" i="5" s="1"/>
  <c r="KV5" i="5" s="1"/>
  <c r="LI5" i="5" s="1"/>
  <c r="LW5" i="5" s="1"/>
  <c r="MJ5" i="5" s="1"/>
  <c r="MW5" i="5" s="1"/>
  <c r="NK5" i="5" s="1"/>
  <c r="NX5" i="5" s="1"/>
  <c r="OK5" i="5" s="1"/>
  <c r="OY5" i="5" s="1"/>
  <c r="PL5" i="5" s="1"/>
  <c r="PY5" i="5" s="1"/>
  <c r="QM5" i="5" s="1"/>
  <c r="QZ5" i="5" s="1"/>
  <c r="RM5" i="5" s="1"/>
  <c r="SA5" i="5" s="1"/>
  <c r="SN5" i="5" s="1"/>
  <c r="TA5" i="5" s="1"/>
  <c r="TO5" i="5" s="1"/>
  <c r="UB5" i="5" s="1"/>
  <c r="UO5" i="5" s="1"/>
  <c r="VC5" i="5" s="1"/>
  <c r="VP5" i="5" s="1"/>
  <c r="WC5" i="5" s="1"/>
  <c r="WP5" i="5" s="1"/>
  <c r="XC5" i="5" s="1"/>
  <c r="XP5" i="5" s="1"/>
  <c r="Q5" i="5"/>
  <c r="AD5" i="5" s="1"/>
  <c r="AR5" i="5" s="1"/>
  <c r="BE5" i="5" s="1"/>
  <c r="BR5" i="5" s="1"/>
  <c r="CF5" i="5" s="1"/>
  <c r="CS5" i="5" s="1"/>
  <c r="DF5" i="5" s="1"/>
  <c r="DT5" i="5" s="1"/>
  <c r="EG5" i="5" s="1"/>
  <c r="ET5" i="5" s="1"/>
  <c r="FH5" i="5" s="1"/>
  <c r="FU5" i="5" s="1"/>
  <c r="GH5" i="5" s="1"/>
  <c r="GV5" i="5" s="1"/>
  <c r="HI5" i="5" s="1"/>
  <c r="HV5" i="5" s="1"/>
  <c r="IJ5" i="5" s="1"/>
  <c r="IW5" i="5" s="1"/>
  <c r="JJ5" i="5" s="1"/>
  <c r="JX5" i="5" s="1"/>
  <c r="KK5" i="5" s="1"/>
  <c r="KX5" i="5" s="1"/>
  <c r="LL5" i="5" s="1"/>
  <c r="LY5" i="5" s="1"/>
  <c r="ML5" i="5" s="1"/>
  <c r="MZ5" i="5" s="1"/>
  <c r="NM5" i="5" s="1"/>
  <c r="NZ5" i="5" s="1"/>
  <c r="ON5" i="5" s="1"/>
  <c r="PA5" i="5" s="1"/>
  <c r="PN5" i="5" s="1"/>
  <c r="QB5" i="5" s="1"/>
  <c r="QO5" i="5" s="1"/>
  <c r="RB5" i="5" s="1"/>
  <c r="RP5" i="5" s="1"/>
  <c r="SC5" i="5" s="1"/>
  <c r="SP5" i="5" s="1"/>
  <c r="TD5" i="5" s="1"/>
  <c r="TQ5" i="5" s="1"/>
  <c r="UD5" i="5" s="1"/>
  <c r="UR5" i="5" s="1"/>
  <c r="VE5" i="5" s="1"/>
  <c r="VR5" i="5" s="1"/>
  <c r="WE5" i="5" s="1"/>
  <c r="WR5" i="5" s="1"/>
  <c r="XE5" i="5" s="1"/>
  <c r="HU6" i="2"/>
  <c r="HH6" i="2"/>
  <c r="FT6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R5" i="4"/>
  <c r="AE5" i="4" s="1"/>
  <c r="AS5" i="4" s="1"/>
  <c r="BF5" i="4" s="1"/>
  <c r="BS5" i="4" s="1"/>
  <c r="CG5" i="4" s="1"/>
  <c r="CT5" i="4" s="1"/>
  <c r="DG5" i="4" s="1"/>
  <c r="DU5" i="4" s="1"/>
  <c r="EH5" i="4" s="1"/>
  <c r="EU5" i="4" s="1"/>
  <c r="FI5" i="4" s="1"/>
  <c r="FV5" i="4" s="1"/>
  <c r="GI5" i="4" s="1"/>
  <c r="GW5" i="4" s="1"/>
  <c r="S5" i="4"/>
  <c r="AF5" i="4" s="1"/>
  <c r="AT5" i="4" s="1"/>
  <c r="BG5" i="4" s="1"/>
  <c r="BT5" i="4" s="1"/>
  <c r="CH5" i="4" s="1"/>
  <c r="CU5" i="4" s="1"/>
  <c r="DH5" i="4" s="1"/>
  <c r="DV5" i="4" s="1"/>
  <c r="EI5" i="4" s="1"/>
  <c r="EV5" i="4" s="1"/>
  <c r="FJ5" i="4" s="1"/>
  <c r="FW5" i="4" s="1"/>
  <c r="GJ5" i="4" s="1"/>
  <c r="GX5" i="4" s="1"/>
  <c r="T5" i="4"/>
  <c r="AG5" i="4" s="1"/>
  <c r="AU5" i="4" s="1"/>
  <c r="BH5" i="4" s="1"/>
  <c r="BU5" i="4" s="1"/>
  <c r="CI5" i="4" s="1"/>
  <c r="CV5" i="4" s="1"/>
  <c r="DI5" i="4" s="1"/>
  <c r="DW5" i="4" s="1"/>
  <c r="EJ5" i="4" s="1"/>
  <c r="EW5" i="4" s="1"/>
  <c r="FK5" i="4" s="1"/>
  <c r="FX5" i="4" s="1"/>
  <c r="GK5" i="4" s="1"/>
  <c r="GY5" i="4" s="1"/>
  <c r="U5" i="4"/>
  <c r="AH5" i="4" s="1"/>
  <c r="AV5" i="4" s="1"/>
  <c r="BI5" i="4" s="1"/>
  <c r="BV5" i="4" s="1"/>
  <c r="CJ5" i="4" s="1"/>
  <c r="CW5" i="4" s="1"/>
  <c r="DJ5" i="4" s="1"/>
  <c r="DX5" i="4" s="1"/>
  <c r="EK5" i="4" s="1"/>
  <c r="EX5" i="4" s="1"/>
  <c r="FL5" i="4" s="1"/>
  <c r="FY5" i="4" s="1"/>
  <c r="GL5" i="4" s="1"/>
  <c r="GZ5" i="4" s="1"/>
  <c r="V5" i="4"/>
  <c r="AI5" i="4" s="1"/>
  <c r="AW5" i="4" s="1"/>
  <c r="BJ5" i="4" s="1"/>
  <c r="BW5" i="4" s="1"/>
  <c r="CK5" i="4" s="1"/>
  <c r="CX5" i="4" s="1"/>
  <c r="DK5" i="4" s="1"/>
  <c r="DY5" i="4" s="1"/>
  <c r="EL5" i="4" s="1"/>
  <c r="EY5" i="4" s="1"/>
  <c r="FM5" i="4" s="1"/>
  <c r="FZ5" i="4" s="1"/>
  <c r="GM5" i="4" s="1"/>
  <c r="HA5" i="4" s="1"/>
  <c r="W5" i="4"/>
  <c r="AJ5" i="4" s="1"/>
  <c r="AX5" i="4" s="1"/>
  <c r="BK5" i="4" s="1"/>
  <c r="BX5" i="4" s="1"/>
  <c r="CL5" i="4" s="1"/>
  <c r="CY5" i="4" s="1"/>
  <c r="DL5" i="4" s="1"/>
  <c r="DZ5" i="4" s="1"/>
  <c r="EM5" i="4" s="1"/>
  <c r="EZ5" i="4" s="1"/>
  <c r="FN5" i="4" s="1"/>
  <c r="GA5" i="4" s="1"/>
  <c r="GN5" i="4" s="1"/>
  <c r="HB5" i="4" s="1"/>
  <c r="X5" i="4"/>
  <c r="AK5" i="4" s="1"/>
  <c r="AY5" i="4" s="1"/>
  <c r="BL5" i="4" s="1"/>
  <c r="BY5" i="4" s="1"/>
  <c r="CM5" i="4" s="1"/>
  <c r="CZ5" i="4" s="1"/>
  <c r="DM5" i="4" s="1"/>
  <c r="EA5" i="4" s="1"/>
  <c r="EN5" i="4" s="1"/>
  <c r="FA5" i="4" s="1"/>
  <c r="FO5" i="4" s="1"/>
  <c r="GB5" i="4" s="1"/>
  <c r="GO5" i="4" s="1"/>
  <c r="HC5" i="4" s="1"/>
  <c r="Y5" i="4"/>
  <c r="AL5" i="4" s="1"/>
  <c r="AZ5" i="4" s="1"/>
  <c r="BM5" i="4" s="1"/>
  <c r="BZ5" i="4" s="1"/>
  <c r="CN5" i="4" s="1"/>
  <c r="DA5" i="4" s="1"/>
  <c r="DN5" i="4" s="1"/>
  <c r="EB5" i="4" s="1"/>
  <c r="EO5" i="4" s="1"/>
  <c r="FB5" i="4" s="1"/>
  <c r="FP5" i="4" s="1"/>
  <c r="GC5" i="4" s="1"/>
  <c r="GP5" i="4" s="1"/>
  <c r="HD5" i="4" s="1"/>
  <c r="Z5" i="4"/>
  <c r="AM5" i="4" s="1"/>
  <c r="BA5" i="4" s="1"/>
  <c r="BN5" i="4" s="1"/>
  <c r="CA5" i="4" s="1"/>
  <c r="CO5" i="4" s="1"/>
  <c r="DB5" i="4" s="1"/>
  <c r="DO5" i="4" s="1"/>
  <c r="EC5" i="4" s="1"/>
  <c r="EP5" i="4" s="1"/>
  <c r="FC5" i="4" s="1"/>
  <c r="FQ5" i="4" s="1"/>
  <c r="GD5" i="4" s="1"/>
  <c r="GQ5" i="4" s="1"/>
  <c r="HE5" i="4" s="1"/>
  <c r="AA5" i="4"/>
  <c r="AN5" i="4" s="1"/>
  <c r="BB5" i="4" s="1"/>
  <c r="BO5" i="4" s="1"/>
  <c r="CB5" i="4" s="1"/>
  <c r="CP5" i="4" s="1"/>
  <c r="DC5" i="4" s="1"/>
  <c r="DP5" i="4" s="1"/>
  <c r="ED5" i="4" s="1"/>
  <c r="EQ5" i="4" s="1"/>
  <c r="FD5" i="4" s="1"/>
  <c r="FR5" i="4" s="1"/>
  <c r="GE5" i="4" s="1"/>
  <c r="GR5" i="4" s="1"/>
  <c r="HF5" i="4" s="1"/>
  <c r="AB5" i="4"/>
  <c r="AO5" i="4" s="1"/>
  <c r="BC5" i="4" s="1"/>
  <c r="BP5" i="4" s="1"/>
  <c r="CC5" i="4" s="1"/>
  <c r="CQ5" i="4" s="1"/>
  <c r="DD5" i="4" s="1"/>
  <c r="DQ5" i="4" s="1"/>
  <c r="EE5" i="4" s="1"/>
  <c r="ER5" i="4" s="1"/>
  <c r="FE5" i="4" s="1"/>
  <c r="FS5" i="4" s="1"/>
  <c r="GF5" i="4" s="1"/>
  <c r="GS5" i="4" s="1"/>
  <c r="HG5" i="4" s="1"/>
  <c r="Q5" i="4"/>
  <c r="AD5" i="4" s="1"/>
  <c r="AR5" i="4" s="1"/>
  <c r="BE5" i="4" s="1"/>
  <c r="BR5" i="4" s="1"/>
  <c r="CF5" i="4" s="1"/>
  <c r="CS5" i="4" s="1"/>
  <c r="DF5" i="4" s="1"/>
  <c r="DT5" i="4" s="1"/>
  <c r="EG5" i="4" s="1"/>
  <c r="ET5" i="4" s="1"/>
  <c r="FH5" i="4" s="1"/>
  <c r="FU5" i="4" s="1"/>
  <c r="GH5" i="4" s="1"/>
  <c r="GV5" i="4" s="1"/>
  <c r="GG6" i="2"/>
  <c r="C3" i="3" l="1"/>
  <c r="CL71" i="15"/>
  <c r="FN71" i="15"/>
  <c r="AX71" i="15"/>
  <c r="DZ71" i="15"/>
  <c r="BG5" i="3"/>
  <c r="BG7" i="3"/>
  <c r="BG6" i="3"/>
  <c r="BF6" i="3"/>
  <c r="BF5" i="3"/>
  <c r="BB5" i="3"/>
  <c r="BB7" i="3"/>
  <c r="BB6" i="3"/>
  <c r="BA6" i="3"/>
  <c r="BA5" i="3"/>
  <c r="AW5" i="3"/>
  <c r="AW7" i="3"/>
  <c r="AW6" i="3"/>
  <c r="AV6" i="3"/>
  <c r="AV5" i="3"/>
  <c r="AR5" i="3"/>
  <c r="AR7" i="3"/>
  <c r="AR6" i="3"/>
  <c r="AQ6" i="3"/>
  <c r="AQ5" i="3"/>
  <c r="BG38" i="3"/>
  <c r="BB38" i="3"/>
  <c r="AW38" i="3"/>
  <c r="AR38" i="3"/>
  <c r="AM38" i="3"/>
  <c r="AH38" i="3"/>
  <c r="AM5" i="3"/>
  <c r="AM7" i="3"/>
  <c r="AM6" i="3"/>
  <c r="AL6" i="3"/>
  <c r="AL5" i="3"/>
  <c r="AH5" i="3"/>
  <c r="AH7" i="3"/>
  <c r="AH6" i="3"/>
  <c r="AG6" i="3"/>
  <c r="AG5" i="3"/>
  <c r="AC38" i="3"/>
  <c r="AC6" i="3"/>
  <c r="AB5" i="3"/>
  <c r="AB6" i="3"/>
  <c r="X38" i="3"/>
  <c r="S38" i="3"/>
  <c r="AC5" i="3"/>
  <c r="AC7" i="3"/>
  <c r="X5" i="3"/>
  <c r="X7" i="3"/>
  <c r="X6" i="3"/>
  <c r="W6" i="3"/>
  <c r="W5" i="3"/>
  <c r="S5" i="3"/>
  <c r="S7" i="3"/>
  <c r="S6" i="3"/>
  <c r="R6" i="3"/>
  <c r="R5" i="3"/>
  <c r="N5" i="3"/>
  <c r="N7" i="3"/>
  <c r="N6" i="3"/>
  <c r="M6" i="3"/>
  <c r="M5" i="3"/>
  <c r="FO71" i="15" l="1"/>
  <c r="I7" i="3"/>
  <c r="N38" i="3"/>
  <c r="I38" i="3"/>
  <c r="D38" i="3"/>
  <c r="I6" i="3"/>
  <c r="H5" i="3"/>
  <c r="I5" i="3"/>
  <c r="H6" i="3"/>
  <c r="D6" i="3"/>
  <c r="C5" i="3"/>
  <c r="D5" i="3"/>
  <c r="D7" i="3"/>
  <c r="C6" i="3"/>
  <c r="P6" i="4"/>
  <c r="AP12" i="3"/>
  <c r="AK12" i="3"/>
  <c r="AA12" i="3"/>
  <c r="V12" i="3"/>
  <c r="L12" i="3"/>
  <c r="G11" i="3"/>
  <c r="G12" i="3"/>
  <c r="AC45" i="3" l="1"/>
  <c r="AB45" i="3"/>
  <c r="X70" i="3"/>
  <c r="X65" i="3"/>
  <c r="AC65" i="3"/>
  <c r="AB63" i="3"/>
  <c r="W63" i="3"/>
  <c r="S65" i="3"/>
  <c r="R63" i="3"/>
  <c r="AK46" i="3"/>
  <c r="AH45" i="3" l="1"/>
  <c r="D65" i="3"/>
  <c r="I65" i="3"/>
  <c r="N65" i="3"/>
  <c r="S46" i="3"/>
  <c r="R46" i="3"/>
  <c r="N70" i="3"/>
  <c r="I70" i="3"/>
  <c r="D70" i="3"/>
  <c r="M70" i="3"/>
  <c r="H70" i="3"/>
  <c r="M63" i="3"/>
  <c r="H63" i="3"/>
  <c r="C70" i="3"/>
  <c r="C63" i="3"/>
  <c r="AR65" i="3" l="1"/>
  <c r="AQ63" i="3"/>
  <c r="AM65" i="3"/>
  <c r="AL63" i="3"/>
  <c r="AH65" i="3"/>
  <c r="AG63" i="3"/>
  <c r="AG60" i="3"/>
  <c r="AG61" i="3"/>
  <c r="AO45" i="3" l="1"/>
  <c r="AM45" i="3"/>
  <c r="AL45" i="3"/>
  <c r="AM47" i="3" l="1"/>
  <c r="AL47" i="3"/>
  <c r="AB48" i="3"/>
  <c r="Q12" i="3"/>
  <c r="BF63" i="3" l="1"/>
  <c r="BA63" i="3"/>
  <c r="BE63" i="3" s="1"/>
  <c r="AV63" i="3"/>
  <c r="BG65" i="3"/>
  <c r="BB65" i="3"/>
  <c r="AW65" i="3"/>
  <c r="AZ65" i="3" s="1"/>
  <c r="AW45" i="3"/>
  <c r="AV45" i="3"/>
  <c r="AZ12" i="3"/>
  <c r="BI72" i="3"/>
  <c r="BH72" i="3"/>
  <c r="BG72" i="3"/>
  <c r="BF72" i="3"/>
  <c r="BJ71" i="3"/>
  <c r="BJ70" i="3"/>
  <c r="BJ69" i="3"/>
  <c r="BJ68" i="3"/>
  <c r="BD72" i="3"/>
  <c r="BC72" i="3"/>
  <c r="BB72" i="3"/>
  <c r="BA72" i="3"/>
  <c r="BE71" i="3"/>
  <c r="BE70" i="3"/>
  <c r="BE69" i="3"/>
  <c r="BE68" i="3"/>
  <c r="AZ68" i="3"/>
  <c r="AY72" i="3"/>
  <c r="AX72" i="3"/>
  <c r="AW72" i="3"/>
  <c r="AV72" i="3"/>
  <c r="AZ72" i="3" s="1"/>
  <c r="AZ71" i="3"/>
  <c r="AZ70" i="3"/>
  <c r="AZ69" i="3"/>
  <c r="AT72" i="3"/>
  <c r="AS72" i="3"/>
  <c r="AR72" i="3"/>
  <c r="AQ72" i="3"/>
  <c r="AU71" i="3"/>
  <c r="AU70" i="3"/>
  <c r="AU69" i="3"/>
  <c r="AU68" i="3"/>
  <c r="AO72" i="3"/>
  <c r="AN72" i="3"/>
  <c r="AM72" i="3"/>
  <c r="AL72" i="3"/>
  <c r="AP71" i="3"/>
  <c r="AP70" i="3"/>
  <c r="AP69" i="3"/>
  <c r="AP68" i="3"/>
  <c r="AJ72" i="3"/>
  <c r="AI72" i="3"/>
  <c r="AH72" i="3"/>
  <c r="AG72" i="3"/>
  <c r="AK71" i="3"/>
  <c r="AK70" i="3"/>
  <c r="AK69" i="3"/>
  <c r="AK68" i="3"/>
  <c r="AE72" i="3"/>
  <c r="AD72" i="3"/>
  <c r="AC72" i="3"/>
  <c r="AB72" i="3"/>
  <c r="AF71" i="3"/>
  <c r="AF70" i="3"/>
  <c r="AF69" i="3"/>
  <c r="AF68" i="3"/>
  <c r="Z72" i="3"/>
  <c r="Y72" i="3"/>
  <c r="X72" i="3"/>
  <c r="W72" i="3"/>
  <c r="U72" i="3"/>
  <c r="T72" i="3"/>
  <c r="S72" i="3"/>
  <c r="R72" i="3"/>
  <c r="P72" i="3"/>
  <c r="O72" i="3"/>
  <c r="N72" i="3"/>
  <c r="M72" i="3"/>
  <c r="K72" i="3"/>
  <c r="J72" i="3"/>
  <c r="I72" i="3"/>
  <c r="H72" i="3"/>
  <c r="F72" i="3"/>
  <c r="E72" i="3"/>
  <c r="D72" i="3"/>
  <c r="C72" i="3"/>
  <c r="AA71" i="3"/>
  <c r="V71" i="3"/>
  <c r="Q71" i="3"/>
  <c r="L71" i="3"/>
  <c r="G71" i="3"/>
  <c r="BK71" i="3" s="1"/>
  <c r="AA70" i="3"/>
  <c r="V70" i="3"/>
  <c r="Q70" i="3"/>
  <c r="L70" i="3"/>
  <c r="G70" i="3"/>
  <c r="AA69" i="3"/>
  <c r="V69" i="3"/>
  <c r="Q69" i="3"/>
  <c r="L69" i="3"/>
  <c r="G69" i="3"/>
  <c r="AA68" i="3"/>
  <c r="V68" i="3"/>
  <c r="Q68" i="3"/>
  <c r="L68" i="3"/>
  <c r="G68" i="3"/>
  <c r="G44" i="3"/>
  <c r="L44" i="3"/>
  <c r="Q44" i="3"/>
  <c r="V44" i="3"/>
  <c r="AA44" i="3"/>
  <c r="AF44" i="3"/>
  <c r="AK44" i="3"/>
  <c r="AP44" i="3"/>
  <c r="AU44" i="3"/>
  <c r="F48" i="3"/>
  <c r="E48" i="3"/>
  <c r="D48" i="3"/>
  <c r="C48" i="3"/>
  <c r="G47" i="3"/>
  <c r="G46" i="3"/>
  <c r="G45" i="3"/>
  <c r="K48" i="3"/>
  <c r="J48" i="3"/>
  <c r="I48" i="3"/>
  <c r="H48" i="3"/>
  <c r="L47" i="3"/>
  <c r="L46" i="3"/>
  <c r="L45" i="3"/>
  <c r="P48" i="3"/>
  <c r="O48" i="3"/>
  <c r="N48" i="3"/>
  <c r="M48" i="3"/>
  <c r="Q47" i="3"/>
  <c r="Q46" i="3"/>
  <c r="Q45" i="3"/>
  <c r="U48" i="3"/>
  <c r="T48" i="3"/>
  <c r="S48" i="3"/>
  <c r="R48" i="3"/>
  <c r="V47" i="3"/>
  <c r="V46" i="3"/>
  <c r="V45" i="3"/>
  <c r="Z48" i="3"/>
  <c r="Y48" i="3"/>
  <c r="X48" i="3"/>
  <c r="W48" i="3"/>
  <c r="AA47" i="3"/>
  <c r="AA46" i="3"/>
  <c r="AA45" i="3"/>
  <c r="AE48" i="3"/>
  <c r="AD48" i="3"/>
  <c r="AC48" i="3"/>
  <c r="AF47" i="3"/>
  <c r="AF46" i="3"/>
  <c r="AF45" i="3"/>
  <c r="AJ48" i="3"/>
  <c r="AI48" i="3"/>
  <c r="AH48" i="3"/>
  <c r="AG48" i="3"/>
  <c r="AK47" i="3"/>
  <c r="AK45" i="3"/>
  <c r="AO48" i="3"/>
  <c r="AN48" i="3"/>
  <c r="AM48" i="3"/>
  <c r="AL48" i="3"/>
  <c r="AP47" i="3"/>
  <c r="AP46" i="3"/>
  <c r="AP45" i="3"/>
  <c r="AT48" i="3"/>
  <c r="AS48" i="3"/>
  <c r="AR48" i="3"/>
  <c r="AQ48" i="3"/>
  <c r="AU47" i="3"/>
  <c r="AU46" i="3"/>
  <c r="AU45" i="3"/>
  <c r="BI48" i="3"/>
  <c r="BH48" i="3"/>
  <c r="BG48" i="3"/>
  <c r="BJ47" i="3"/>
  <c r="BJ46" i="3"/>
  <c r="BJ44" i="3"/>
  <c r="BE47" i="3"/>
  <c r="BE46" i="3"/>
  <c r="BE44" i="3"/>
  <c r="BD48" i="3"/>
  <c r="BC48" i="3"/>
  <c r="BB48" i="3"/>
  <c r="AZ47" i="3"/>
  <c r="AZ46" i="3"/>
  <c r="AZ44" i="3"/>
  <c r="AY48" i="3"/>
  <c r="AX48" i="3"/>
  <c r="AW48" i="3"/>
  <c r="AV48" i="3"/>
  <c r="BF45" i="3"/>
  <c r="BF48" i="3" s="1"/>
  <c r="BJ48" i="3" s="1"/>
  <c r="BF61" i="3"/>
  <c r="BJ12" i="3"/>
  <c r="BE12" i="3"/>
  <c r="AU12" i="3"/>
  <c r="AF12" i="3"/>
  <c r="BA45" i="3"/>
  <c r="BE45" i="3" s="1"/>
  <c r="BJ61" i="3"/>
  <c r="BE61" i="3"/>
  <c r="AZ61" i="3"/>
  <c r="AU61" i="3"/>
  <c r="AP61" i="3"/>
  <c r="AK61" i="3"/>
  <c r="AF61" i="3"/>
  <c r="AA61" i="3"/>
  <c r="V61" i="3"/>
  <c r="Q61" i="3"/>
  <c r="L61" i="3"/>
  <c r="G61" i="3"/>
  <c r="BJ66" i="3"/>
  <c r="BJ64" i="3"/>
  <c r="BJ63" i="3"/>
  <c r="BJ62" i="3"/>
  <c r="BJ60" i="3"/>
  <c r="BJ59" i="3"/>
  <c r="BJ58" i="3"/>
  <c r="BE66" i="3"/>
  <c r="BE65" i="3"/>
  <c r="BE64" i="3"/>
  <c r="BE62" i="3"/>
  <c r="BE60" i="3"/>
  <c r="BE58" i="3"/>
  <c r="AZ66" i="3"/>
  <c r="AZ64" i="3"/>
  <c r="AZ63" i="3"/>
  <c r="AZ62" i="3"/>
  <c r="AZ60" i="3"/>
  <c r="AZ59" i="3"/>
  <c r="AZ58" i="3"/>
  <c r="AU66" i="3"/>
  <c r="AU64" i="3"/>
  <c r="AU62" i="3"/>
  <c r="AU60" i="3"/>
  <c r="AU59" i="3"/>
  <c r="AU58" i="3"/>
  <c r="AP66" i="3"/>
  <c r="AP65" i="3"/>
  <c r="AP64" i="3"/>
  <c r="AP63" i="3"/>
  <c r="AP62" i="3"/>
  <c r="AP60" i="3"/>
  <c r="AP59" i="3"/>
  <c r="AP58" i="3"/>
  <c r="AK66" i="3"/>
  <c r="AK65" i="3"/>
  <c r="AK64" i="3"/>
  <c r="AK60" i="3"/>
  <c r="AK59" i="3"/>
  <c r="AK58" i="3"/>
  <c r="AF66" i="3"/>
  <c r="AF65" i="3"/>
  <c r="AF64" i="3"/>
  <c r="AF63" i="3"/>
  <c r="AF62" i="3"/>
  <c r="AF60" i="3"/>
  <c r="AF59" i="3"/>
  <c r="AF58" i="3"/>
  <c r="AA66" i="3"/>
  <c r="AA65" i="3"/>
  <c r="AA64" i="3"/>
  <c r="AA63" i="3"/>
  <c r="AA62" i="3"/>
  <c r="AA60" i="3"/>
  <c r="AA59" i="3"/>
  <c r="AA58" i="3"/>
  <c r="V66" i="3"/>
  <c r="V65" i="3"/>
  <c r="V64" i="3"/>
  <c r="V63" i="3"/>
  <c r="V62" i="3"/>
  <c r="V60" i="3"/>
  <c r="V59" i="3"/>
  <c r="V58" i="3"/>
  <c r="Q66" i="3"/>
  <c r="Q65" i="3"/>
  <c r="Q64" i="3"/>
  <c r="Q63" i="3"/>
  <c r="Q62" i="3"/>
  <c r="Q60" i="3"/>
  <c r="Q59" i="3"/>
  <c r="Q58" i="3"/>
  <c r="L66" i="3"/>
  <c r="L65" i="3"/>
  <c r="L64" i="3"/>
  <c r="L62" i="3"/>
  <c r="L60" i="3"/>
  <c r="L59" i="3"/>
  <c r="L58" i="3"/>
  <c r="G66" i="3"/>
  <c r="G65" i="3"/>
  <c r="G64" i="3"/>
  <c r="G63" i="3"/>
  <c r="G60" i="3"/>
  <c r="G59" i="3"/>
  <c r="G58" i="3"/>
  <c r="BJ42" i="3"/>
  <c r="BJ41" i="3"/>
  <c r="BJ39" i="3"/>
  <c r="BJ38" i="3"/>
  <c r="BJ37" i="3"/>
  <c r="BJ36" i="3"/>
  <c r="BJ35" i="3"/>
  <c r="BJ34" i="3"/>
  <c r="BJ33" i="3"/>
  <c r="BJ32" i="3"/>
  <c r="BJ31" i="3"/>
  <c r="BJ30" i="3"/>
  <c r="BJ29" i="3"/>
  <c r="BJ28" i="3"/>
  <c r="BJ27" i="3"/>
  <c r="BJ26" i="3"/>
  <c r="BJ25" i="3"/>
  <c r="BJ24" i="3"/>
  <c r="BJ23" i="3"/>
  <c r="BJ22" i="3"/>
  <c r="BJ21" i="3"/>
  <c r="BJ20" i="3"/>
  <c r="BJ19" i="3"/>
  <c r="BJ18" i="3"/>
  <c r="BJ17" i="3"/>
  <c r="BJ16" i="3"/>
  <c r="BJ15" i="3"/>
  <c r="BJ14" i="3"/>
  <c r="BJ13" i="3"/>
  <c r="BJ11" i="3"/>
  <c r="BJ9" i="3"/>
  <c r="BJ8" i="3"/>
  <c r="BJ7" i="3"/>
  <c r="BJ6" i="3"/>
  <c r="BJ5" i="3"/>
  <c r="BJ4" i="3"/>
  <c r="BJ3" i="3"/>
  <c r="BE42" i="3"/>
  <c r="BE41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5" i="3"/>
  <c r="BE23" i="3"/>
  <c r="BE22" i="3"/>
  <c r="BE21" i="3"/>
  <c r="BE20" i="3"/>
  <c r="BE19" i="3"/>
  <c r="BE18" i="3"/>
  <c r="BE16" i="3"/>
  <c r="BE15" i="3"/>
  <c r="BE14" i="3"/>
  <c r="BE13" i="3"/>
  <c r="BE11" i="3"/>
  <c r="BE10" i="3"/>
  <c r="BE9" i="3"/>
  <c r="BE8" i="3"/>
  <c r="BE7" i="3"/>
  <c r="BE5" i="3"/>
  <c r="BE4" i="3"/>
  <c r="AZ42" i="3"/>
  <c r="AZ41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2" i="3"/>
  <c r="AZ21" i="3"/>
  <c r="AZ20" i="3"/>
  <c r="AZ19" i="3"/>
  <c r="AZ18" i="3"/>
  <c r="AZ17" i="3"/>
  <c r="AZ16" i="3"/>
  <c r="AZ15" i="3"/>
  <c r="AZ14" i="3"/>
  <c r="AZ13" i="3"/>
  <c r="AZ11" i="3"/>
  <c r="AZ10" i="3"/>
  <c r="AZ9" i="3"/>
  <c r="AZ3" i="3"/>
  <c r="AU42" i="3"/>
  <c r="AU41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1" i="3"/>
  <c r="AU10" i="3"/>
  <c r="AU9" i="3"/>
  <c r="AU8" i="3"/>
  <c r="AU7" i="3"/>
  <c r="AU6" i="3"/>
  <c r="AU5" i="3"/>
  <c r="AU4" i="3"/>
  <c r="AU3" i="3"/>
  <c r="AP42" i="3"/>
  <c r="AP41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1" i="3"/>
  <c r="AP9" i="3"/>
  <c r="AP7" i="3"/>
  <c r="AP6" i="3"/>
  <c r="AP5" i="3"/>
  <c r="AP4" i="3"/>
  <c r="AP3" i="3"/>
  <c r="AK42" i="3"/>
  <c r="AK41" i="3"/>
  <c r="AK39" i="3"/>
  <c r="AK38" i="3"/>
  <c r="AK37" i="3"/>
  <c r="AK36" i="3"/>
  <c r="AK35" i="3"/>
  <c r="AK34" i="3"/>
  <c r="AF42" i="3"/>
  <c r="AF41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3" i="3"/>
  <c r="AF11" i="3"/>
  <c r="AF9" i="3"/>
  <c r="AF8" i="3"/>
  <c r="AF7" i="3"/>
  <c r="AF6" i="3"/>
  <c r="AF5" i="3"/>
  <c r="AF4" i="3"/>
  <c r="AA42" i="3"/>
  <c r="AA41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1" i="3"/>
  <c r="AA10" i="3"/>
  <c r="AA9" i="3"/>
  <c r="AA7" i="3"/>
  <c r="AA6" i="3"/>
  <c r="AA5" i="3"/>
  <c r="AA4" i="3"/>
  <c r="AA3" i="3"/>
  <c r="V42" i="3"/>
  <c r="V41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1" i="3"/>
  <c r="V9" i="3"/>
  <c r="V8" i="3"/>
  <c r="V7" i="3"/>
  <c r="V6" i="3"/>
  <c r="V5" i="3"/>
  <c r="V4" i="3"/>
  <c r="V3" i="3"/>
  <c r="Q42" i="3"/>
  <c r="Q41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1" i="3"/>
  <c r="Q10" i="3"/>
  <c r="Q9" i="3"/>
  <c r="Q8" i="3"/>
  <c r="Q7" i="3"/>
  <c r="Q6" i="3"/>
  <c r="Q4" i="3"/>
  <c r="L42" i="3"/>
  <c r="L41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1" i="3"/>
  <c r="L10" i="3"/>
  <c r="L9" i="3"/>
  <c r="L8" i="3"/>
  <c r="L7" i="3"/>
  <c r="L6" i="3"/>
  <c r="L5" i="3"/>
  <c r="L4" i="3"/>
  <c r="L3" i="3"/>
  <c r="G42" i="3"/>
  <c r="G41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9" i="3"/>
  <c r="G8" i="3"/>
  <c r="G7" i="3"/>
  <c r="G6" i="3"/>
  <c r="BK69" i="3" l="1"/>
  <c r="BA48" i="3"/>
  <c r="BE48" i="3" s="1"/>
  <c r="BK41" i="3"/>
  <c r="BJ45" i="3"/>
  <c r="AU48" i="3"/>
  <c r="AK48" i="3"/>
  <c r="AA48" i="3"/>
  <c r="Q48" i="3"/>
  <c r="BK47" i="3"/>
  <c r="BK46" i="3"/>
  <c r="G48" i="3"/>
  <c r="BK44" i="3"/>
  <c r="BK70" i="3"/>
  <c r="BL71" i="3" s="1"/>
  <c r="G72" i="3"/>
  <c r="L72" i="3"/>
  <c r="Q72" i="3"/>
  <c r="V72" i="3"/>
  <c r="AA72" i="3"/>
  <c r="AF72" i="3"/>
  <c r="AK72" i="3"/>
  <c r="AP72" i="3"/>
  <c r="BE72" i="3"/>
  <c r="BJ72" i="3"/>
  <c r="AZ45" i="3"/>
  <c r="BK45" i="3" s="1"/>
  <c r="BL45" i="3" s="1"/>
  <c r="BK12" i="3"/>
  <c r="AP48" i="3"/>
  <c r="AF48" i="3"/>
  <c r="V48" i="3"/>
  <c r="L48" i="3"/>
  <c r="BK68" i="3"/>
  <c r="BL69" i="3" s="1"/>
  <c r="AU72" i="3"/>
  <c r="AZ48" i="3"/>
  <c r="BK42" i="3"/>
  <c r="BK61" i="3"/>
  <c r="BK39" i="3"/>
  <c r="BK37" i="3"/>
  <c r="BK35" i="3"/>
  <c r="BK64" i="3"/>
  <c r="BK66" i="3"/>
  <c r="Q67" i="3"/>
  <c r="Q73" i="3" s="1"/>
  <c r="V67" i="3"/>
  <c r="V73" i="3" s="1"/>
  <c r="AA67" i="3"/>
  <c r="AA73" i="3" s="1"/>
  <c r="AF67" i="3"/>
  <c r="AF73" i="3" s="1"/>
  <c r="AP67" i="3"/>
  <c r="AZ67" i="3"/>
  <c r="AZ73" i="3" s="1"/>
  <c r="BK34" i="3"/>
  <c r="BK36" i="3"/>
  <c r="BK38" i="3"/>
  <c r="BK58" i="3"/>
  <c r="BK60" i="3"/>
  <c r="EN145" i="10"/>
  <c r="EM145" i="10"/>
  <c r="ES145" i="10" s="1"/>
  <c r="EH144" i="10"/>
  <c r="EG144" i="10"/>
  <c r="ES144" i="10" s="1"/>
  <c r="EF144" i="10"/>
  <c r="FF145" i="10"/>
  <c r="EF145" i="10"/>
  <c r="DR145" i="10"/>
  <c r="DE145" i="10"/>
  <c r="CR145" i="10"/>
  <c r="CD145" i="10"/>
  <c r="BQ145" i="10"/>
  <c r="BD145" i="10"/>
  <c r="AP145" i="10"/>
  <c r="AC145" i="10"/>
  <c r="P145" i="10"/>
  <c r="FF144" i="10"/>
  <c r="DR144" i="10"/>
  <c r="DE144" i="10"/>
  <c r="CR144" i="10"/>
  <c r="DS144" i="10" s="1"/>
  <c r="CD144" i="10"/>
  <c r="BQ144" i="10"/>
  <c r="BD144" i="10"/>
  <c r="AP144" i="10"/>
  <c r="AC144" i="10"/>
  <c r="P144" i="10"/>
  <c r="AQ144" i="10" s="1"/>
  <c r="FF86" i="10"/>
  <c r="ES86" i="10"/>
  <c r="FG86" i="10" s="1"/>
  <c r="EF86" i="10"/>
  <c r="DR86" i="10"/>
  <c r="DE86" i="10"/>
  <c r="DS86" i="10" s="1"/>
  <c r="CR86" i="10"/>
  <c r="CD86" i="10"/>
  <c r="BQ86" i="10"/>
  <c r="CE86" i="10" s="1"/>
  <c r="BD86" i="10"/>
  <c r="AP86" i="10"/>
  <c r="AC86" i="10"/>
  <c r="AQ86" i="10" s="1"/>
  <c r="P86" i="10"/>
  <c r="AQ145" i="10" l="1"/>
  <c r="DS145" i="10"/>
  <c r="CE145" i="10"/>
  <c r="CE144" i="10"/>
  <c r="BL47" i="3"/>
  <c r="AP73" i="3"/>
  <c r="BK72" i="3"/>
  <c r="BK48" i="3"/>
  <c r="FG145" i="10"/>
  <c r="FH145" i="10" s="1"/>
  <c r="FG144" i="10"/>
  <c r="FH144" i="10" s="1"/>
  <c r="FH86" i="10"/>
  <c r="AC5" i="2" l="1"/>
  <c r="AP5" i="2" s="1"/>
  <c r="BD5" i="2" s="1"/>
  <c r="BQ5" i="2" s="1"/>
  <c r="CD5" i="2" s="1"/>
  <c r="CR5" i="2" s="1"/>
  <c r="DE5" i="2" s="1"/>
  <c r="DR5" i="2" s="1"/>
  <c r="EF5" i="2" s="1"/>
  <c r="ES5" i="2" s="1"/>
  <c r="FF5" i="2" s="1"/>
  <c r="FT5" i="2" s="1"/>
  <c r="GG5" i="2" s="1"/>
  <c r="GT5" i="2" s="1"/>
  <c r="HH5" i="2" s="1"/>
  <c r="HU5" i="2" s="1"/>
  <c r="IH5" i="2" s="1"/>
  <c r="IV5" i="2" s="1"/>
  <c r="JI5" i="2" s="1"/>
  <c r="JV5" i="2" s="1"/>
  <c r="KJ5" i="2" s="1"/>
  <c r="V5" i="2"/>
  <c r="AI5" i="2" s="1"/>
  <c r="AW5" i="2" s="1"/>
  <c r="BJ5" i="2" s="1"/>
  <c r="BW5" i="2" s="1"/>
  <c r="CK5" i="2" s="1"/>
  <c r="CX5" i="2" s="1"/>
  <c r="DK5" i="2" s="1"/>
  <c r="DY5" i="2" s="1"/>
  <c r="EL5" i="2" s="1"/>
  <c r="EY5" i="2" s="1"/>
  <c r="FM5" i="2" s="1"/>
  <c r="FZ5" i="2" s="1"/>
  <c r="GM5" i="2" s="1"/>
  <c r="HA5" i="2" s="1"/>
  <c r="HN5" i="2" s="1"/>
  <c r="IA5" i="2" s="1"/>
  <c r="IO5" i="2" s="1"/>
  <c r="JB5" i="2" s="1"/>
  <c r="JO5" i="2" s="1"/>
  <c r="KC5" i="2" s="1"/>
  <c r="KP5" i="2" s="1"/>
  <c r="LC5" i="2" s="1"/>
  <c r="LQ5" i="2" s="1"/>
  <c r="MD5" i="2" s="1"/>
  <c r="MQ5" i="2" s="1"/>
  <c r="NE5" i="2" s="1"/>
  <c r="NR5" i="2" s="1"/>
  <c r="OE5" i="2" s="1"/>
  <c r="OS5" i="2" s="1"/>
  <c r="W5" i="2"/>
  <c r="AJ5" i="2" s="1"/>
  <c r="AX5" i="2" s="1"/>
  <c r="BK5" i="2" s="1"/>
  <c r="BX5" i="2" s="1"/>
  <c r="CL5" i="2" s="1"/>
  <c r="CY5" i="2" s="1"/>
  <c r="DL5" i="2" s="1"/>
  <c r="DZ5" i="2" s="1"/>
  <c r="EM5" i="2" s="1"/>
  <c r="EZ5" i="2" s="1"/>
  <c r="FN5" i="2" s="1"/>
  <c r="GA5" i="2" s="1"/>
  <c r="GN5" i="2" s="1"/>
  <c r="HB5" i="2" s="1"/>
  <c r="HO5" i="2" s="1"/>
  <c r="IB5" i="2" s="1"/>
  <c r="IP5" i="2" s="1"/>
  <c r="JC5" i="2" s="1"/>
  <c r="JP5" i="2" s="1"/>
  <c r="KD5" i="2" s="1"/>
  <c r="KQ5" i="2" s="1"/>
  <c r="LD5" i="2" s="1"/>
  <c r="LR5" i="2" s="1"/>
  <c r="ME5" i="2" s="1"/>
  <c r="MR5" i="2" s="1"/>
  <c r="NF5" i="2" s="1"/>
  <c r="NS5" i="2" s="1"/>
  <c r="OF5" i="2" s="1"/>
  <c r="OT5" i="2" s="1"/>
  <c r="X5" i="2"/>
  <c r="AK5" i="2" s="1"/>
  <c r="AY5" i="2" s="1"/>
  <c r="BL5" i="2" s="1"/>
  <c r="BY5" i="2" s="1"/>
  <c r="CM5" i="2" s="1"/>
  <c r="CZ5" i="2" s="1"/>
  <c r="DM5" i="2" s="1"/>
  <c r="EA5" i="2" s="1"/>
  <c r="EN5" i="2" s="1"/>
  <c r="FA5" i="2" s="1"/>
  <c r="FO5" i="2" s="1"/>
  <c r="GB5" i="2" s="1"/>
  <c r="GO5" i="2" s="1"/>
  <c r="HC5" i="2" s="1"/>
  <c r="HP5" i="2" s="1"/>
  <c r="IC5" i="2" s="1"/>
  <c r="IQ5" i="2" s="1"/>
  <c r="JD5" i="2" s="1"/>
  <c r="JQ5" i="2" s="1"/>
  <c r="KE5" i="2" s="1"/>
  <c r="KR5" i="2" s="1"/>
  <c r="LE5" i="2" s="1"/>
  <c r="LS5" i="2" s="1"/>
  <c r="MF5" i="2" s="1"/>
  <c r="MS5" i="2" s="1"/>
  <c r="NG5" i="2" s="1"/>
  <c r="NT5" i="2" s="1"/>
  <c r="OG5" i="2" s="1"/>
  <c r="OU5" i="2" s="1"/>
  <c r="Y5" i="2"/>
  <c r="AL5" i="2" s="1"/>
  <c r="AZ5" i="2" s="1"/>
  <c r="BM5" i="2" s="1"/>
  <c r="BZ5" i="2" s="1"/>
  <c r="CN5" i="2" s="1"/>
  <c r="DA5" i="2" s="1"/>
  <c r="DN5" i="2" s="1"/>
  <c r="EB5" i="2" s="1"/>
  <c r="EO5" i="2" s="1"/>
  <c r="FB5" i="2" s="1"/>
  <c r="FP5" i="2" s="1"/>
  <c r="GC5" i="2" s="1"/>
  <c r="GP5" i="2" s="1"/>
  <c r="HD5" i="2" s="1"/>
  <c r="HQ5" i="2" s="1"/>
  <c r="ID5" i="2" s="1"/>
  <c r="IR5" i="2" s="1"/>
  <c r="JE5" i="2" s="1"/>
  <c r="JR5" i="2" s="1"/>
  <c r="KF5" i="2" s="1"/>
  <c r="KS5" i="2" s="1"/>
  <c r="LF5" i="2" s="1"/>
  <c r="LT5" i="2" s="1"/>
  <c r="MG5" i="2" s="1"/>
  <c r="MT5" i="2" s="1"/>
  <c r="NH5" i="2" s="1"/>
  <c r="NU5" i="2" s="1"/>
  <c r="OH5" i="2" s="1"/>
  <c r="OV5" i="2" s="1"/>
  <c r="Z5" i="2"/>
  <c r="AM5" i="2" s="1"/>
  <c r="BA5" i="2" s="1"/>
  <c r="BN5" i="2" s="1"/>
  <c r="CA5" i="2" s="1"/>
  <c r="CO5" i="2" s="1"/>
  <c r="DB5" i="2" s="1"/>
  <c r="DO5" i="2" s="1"/>
  <c r="EC5" i="2" s="1"/>
  <c r="EP5" i="2" s="1"/>
  <c r="FC5" i="2" s="1"/>
  <c r="FQ5" i="2" s="1"/>
  <c r="GD5" i="2" s="1"/>
  <c r="GQ5" i="2" s="1"/>
  <c r="HE5" i="2" s="1"/>
  <c r="HR5" i="2" s="1"/>
  <c r="IE5" i="2" s="1"/>
  <c r="IS5" i="2" s="1"/>
  <c r="JF5" i="2" s="1"/>
  <c r="JS5" i="2" s="1"/>
  <c r="KG5" i="2" s="1"/>
  <c r="KT5" i="2" s="1"/>
  <c r="LG5" i="2" s="1"/>
  <c r="LU5" i="2" s="1"/>
  <c r="MH5" i="2" s="1"/>
  <c r="MU5" i="2" s="1"/>
  <c r="NI5" i="2" s="1"/>
  <c r="NV5" i="2" s="1"/>
  <c r="OI5" i="2" s="1"/>
  <c r="OW5" i="2" s="1"/>
  <c r="AA5" i="2"/>
  <c r="AN5" i="2" s="1"/>
  <c r="BB5" i="2" s="1"/>
  <c r="BO5" i="2" s="1"/>
  <c r="CB5" i="2" s="1"/>
  <c r="CP5" i="2" s="1"/>
  <c r="DC5" i="2" s="1"/>
  <c r="DP5" i="2" s="1"/>
  <c r="ED5" i="2" s="1"/>
  <c r="EQ5" i="2" s="1"/>
  <c r="FD5" i="2" s="1"/>
  <c r="FR5" i="2" s="1"/>
  <c r="GE5" i="2" s="1"/>
  <c r="GR5" i="2" s="1"/>
  <c r="HF5" i="2" s="1"/>
  <c r="HS5" i="2" s="1"/>
  <c r="IF5" i="2" s="1"/>
  <c r="IT5" i="2" s="1"/>
  <c r="JG5" i="2" s="1"/>
  <c r="JT5" i="2" s="1"/>
  <c r="KH5" i="2" s="1"/>
  <c r="KU5" i="2" s="1"/>
  <c r="LH5" i="2" s="1"/>
  <c r="LV5" i="2" s="1"/>
  <c r="MI5" i="2" s="1"/>
  <c r="MV5" i="2" s="1"/>
  <c r="NJ5" i="2" s="1"/>
  <c r="NW5" i="2" s="1"/>
  <c r="OJ5" i="2" s="1"/>
  <c r="OX5" i="2" s="1"/>
  <c r="AB5" i="2"/>
  <c r="AO5" i="2" s="1"/>
  <c r="BC5" i="2" s="1"/>
  <c r="BP5" i="2" s="1"/>
  <c r="CC5" i="2" s="1"/>
  <c r="CQ5" i="2" s="1"/>
  <c r="DD5" i="2" s="1"/>
  <c r="DQ5" i="2" s="1"/>
  <c r="EE5" i="2" s="1"/>
  <c r="ER5" i="2" s="1"/>
  <c r="FE5" i="2" s="1"/>
  <c r="FS5" i="2" s="1"/>
  <c r="GF5" i="2" s="1"/>
  <c r="GS5" i="2" s="1"/>
  <c r="HG5" i="2" s="1"/>
  <c r="HT5" i="2" s="1"/>
  <c r="IG5" i="2" s="1"/>
  <c r="IU5" i="2" s="1"/>
  <c r="JH5" i="2" s="1"/>
  <c r="JU5" i="2" s="1"/>
  <c r="KI5" i="2" s="1"/>
  <c r="KV5" i="2" s="1"/>
  <c r="LI5" i="2" s="1"/>
  <c r="LW5" i="2" s="1"/>
  <c r="MJ5" i="2" s="1"/>
  <c r="MW5" i="2" s="1"/>
  <c r="NK5" i="2" s="1"/>
  <c r="NX5" i="2" s="1"/>
  <c r="OK5" i="2" s="1"/>
  <c r="OY5" i="2" s="1"/>
  <c r="U5" i="2"/>
  <c r="AH5" i="2" s="1"/>
  <c r="AV5" i="2" s="1"/>
  <c r="BI5" i="2" s="1"/>
  <c r="BV5" i="2" s="1"/>
  <c r="CJ5" i="2" s="1"/>
  <c r="CW5" i="2" s="1"/>
  <c r="DJ5" i="2" s="1"/>
  <c r="DX5" i="2" s="1"/>
  <c r="EK5" i="2" s="1"/>
  <c r="EX5" i="2" s="1"/>
  <c r="FL5" i="2" s="1"/>
  <c r="FY5" i="2" s="1"/>
  <c r="GL5" i="2" s="1"/>
  <c r="GZ5" i="2" s="1"/>
  <c r="HM5" i="2" s="1"/>
  <c r="HZ5" i="2" s="1"/>
  <c r="IN5" i="2" s="1"/>
  <c r="JA5" i="2" s="1"/>
  <c r="JN5" i="2" s="1"/>
  <c r="KB5" i="2" s="1"/>
  <c r="KO5" i="2" s="1"/>
  <c r="LB5" i="2" s="1"/>
  <c r="LP5" i="2" s="1"/>
  <c r="MC5" i="2" s="1"/>
  <c r="MP5" i="2" s="1"/>
  <c r="ND5" i="2" s="1"/>
  <c r="NQ5" i="2" s="1"/>
  <c r="OD5" i="2" s="1"/>
  <c r="OR5" i="2" s="1"/>
  <c r="T5" i="2"/>
  <c r="AG5" i="2" s="1"/>
  <c r="AU5" i="2" s="1"/>
  <c r="BH5" i="2" s="1"/>
  <c r="BU5" i="2" s="1"/>
  <c r="CI5" i="2" s="1"/>
  <c r="CV5" i="2" s="1"/>
  <c r="DI5" i="2" s="1"/>
  <c r="DW5" i="2" s="1"/>
  <c r="EJ5" i="2" s="1"/>
  <c r="EW5" i="2" s="1"/>
  <c r="FK5" i="2" s="1"/>
  <c r="FX5" i="2" s="1"/>
  <c r="GK5" i="2" s="1"/>
  <c r="GY5" i="2" s="1"/>
  <c r="HL5" i="2" s="1"/>
  <c r="HY5" i="2" s="1"/>
  <c r="IM5" i="2" s="1"/>
  <c r="IZ5" i="2" s="1"/>
  <c r="JM5" i="2" s="1"/>
  <c r="KA5" i="2" s="1"/>
  <c r="KN5" i="2" s="1"/>
  <c r="LA5" i="2" s="1"/>
  <c r="LO5" i="2" s="1"/>
  <c r="MB5" i="2" s="1"/>
  <c r="MO5" i="2" s="1"/>
  <c r="NC5" i="2" s="1"/>
  <c r="NP5" i="2" s="1"/>
  <c r="OC5" i="2" s="1"/>
  <c r="OQ5" i="2" s="1"/>
  <c r="S5" i="2"/>
  <c r="AF5" i="2" s="1"/>
  <c r="AT5" i="2" s="1"/>
  <c r="BG5" i="2" s="1"/>
  <c r="BT5" i="2" s="1"/>
  <c r="CH5" i="2" s="1"/>
  <c r="CU5" i="2" s="1"/>
  <c r="DH5" i="2" s="1"/>
  <c r="DV5" i="2" s="1"/>
  <c r="EI5" i="2" s="1"/>
  <c r="EV5" i="2" s="1"/>
  <c r="FJ5" i="2" s="1"/>
  <c r="FW5" i="2" s="1"/>
  <c r="GJ5" i="2" s="1"/>
  <c r="GX5" i="2" s="1"/>
  <c r="HK5" i="2" s="1"/>
  <c r="HX5" i="2" s="1"/>
  <c r="IL5" i="2" s="1"/>
  <c r="IY5" i="2" s="1"/>
  <c r="JL5" i="2" s="1"/>
  <c r="JZ5" i="2" s="1"/>
  <c r="KM5" i="2" s="1"/>
  <c r="KZ5" i="2" s="1"/>
  <c r="LN5" i="2" s="1"/>
  <c r="MA5" i="2" s="1"/>
  <c r="MN5" i="2" s="1"/>
  <c r="NB5" i="2" s="1"/>
  <c r="NO5" i="2" s="1"/>
  <c r="OB5" i="2" s="1"/>
  <c r="OP5" i="2" s="1"/>
  <c r="R5" i="2"/>
  <c r="AE5" i="2" s="1"/>
  <c r="AS5" i="2" s="1"/>
  <c r="BF5" i="2" s="1"/>
  <c r="BS5" i="2" s="1"/>
  <c r="CG5" i="2" s="1"/>
  <c r="CT5" i="2" s="1"/>
  <c r="DG5" i="2" s="1"/>
  <c r="DU5" i="2" s="1"/>
  <c r="EH5" i="2" s="1"/>
  <c r="EU5" i="2" s="1"/>
  <c r="FI5" i="2" s="1"/>
  <c r="FV5" i="2" s="1"/>
  <c r="GI5" i="2" s="1"/>
  <c r="GW5" i="2" s="1"/>
  <c r="HJ5" i="2" s="1"/>
  <c r="HW5" i="2" s="1"/>
  <c r="IK5" i="2" s="1"/>
  <c r="IX5" i="2" s="1"/>
  <c r="JK5" i="2" s="1"/>
  <c r="JY5" i="2" s="1"/>
  <c r="KL5" i="2" s="1"/>
  <c r="KY5" i="2" s="1"/>
  <c r="LM5" i="2" s="1"/>
  <c r="LZ5" i="2" s="1"/>
  <c r="MM5" i="2" s="1"/>
  <c r="NA5" i="2" s="1"/>
  <c r="NN5" i="2" s="1"/>
  <c r="OA5" i="2" s="1"/>
  <c r="OO5" i="2" s="1"/>
  <c r="Q5" i="2"/>
  <c r="AD5" i="2" s="1"/>
  <c r="AR5" i="2" s="1"/>
  <c r="BE5" i="2" s="1"/>
  <c r="BR5" i="2" s="1"/>
  <c r="CF5" i="2" s="1"/>
  <c r="CS5" i="2" s="1"/>
  <c r="DF5" i="2" s="1"/>
  <c r="DT5" i="2" s="1"/>
  <c r="EG5" i="2" s="1"/>
  <c r="ET5" i="2" s="1"/>
  <c r="FH5" i="2" s="1"/>
  <c r="FU5" i="2" s="1"/>
  <c r="GH5" i="2" s="1"/>
  <c r="GV5" i="2" s="1"/>
  <c r="HI5" i="2" s="1"/>
  <c r="HV5" i="2" s="1"/>
  <c r="IJ5" i="2" s="1"/>
  <c r="IW5" i="2" s="1"/>
  <c r="JJ5" i="2" s="1"/>
  <c r="JX5" i="2" s="1"/>
  <c r="KK5" i="2" s="1"/>
  <c r="KX5" i="2" s="1"/>
  <c r="LL5" i="2" s="1"/>
  <c r="LY5" i="2" s="1"/>
  <c r="ML5" i="2" s="1"/>
  <c r="MZ5" i="2" s="1"/>
  <c r="NM5" i="2" s="1"/>
  <c r="NZ5" i="2" s="1"/>
  <c r="ON5" i="2" s="1"/>
  <c r="CU143" i="10" l="1"/>
  <c r="CS143" i="10"/>
  <c r="CY142" i="10"/>
  <c r="DD141" i="10"/>
  <c r="DB141" i="10"/>
  <c r="DA140" i="10"/>
  <c r="CY140" i="10"/>
  <c r="CU139" i="10"/>
  <c r="CS139" i="10"/>
  <c r="CU138" i="10"/>
  <c r="CS138" i="10"/>
  <c r="DD137" i="10"/>
  <c r="DB137" i="10"/>
  <c r="CX136" i="10"/>
  <c r="CV136" i="10"/>
  <c r="CX135" i="10"/>
  <c r="CV135" i="10"/>
  <c r="CU134" i="10"/>
  <c r="CS134" i="10"/>
  <c r="DA133" i="10"/>
  <c r="CY133" i="10"/>
  <c r="DA132" i="10"/>
  <c r="CY132" i="10"/>
  <c r="DA131" i="10"/>
  <c r="CY131" i="10"/>
  <c r="CU130" i="10"/>
  <c r="CS130" i="10"/>
  <c r="CU129" i="10"/>
  <c r="CS129" i="10"/>
  <c r="CU128" i="10"/>
  <c r="CS128" i="10"/>
  <c r="CU127" i="10"/>
  <c r="CS127" i="10"/>
  <c r="CU122" i="10"/>
  <c r="CS122" i="10"/>
  <c r="CS121" i="10"/>
  <c r="CV120" i="10"/>
  <c r="DA116" i="10"/>
  <c r="CY116" i="10"/>
  <c r="CY115" i="10"/>
  <c r="DA114" i="10"/>
  <c r="CY114" i="10"/>
  <c r="DA113" i="10"/>
  <c r="CY113" i="10"/>
  <c r="CY112" i="10"/>
  <c r="DA111" i="10"/>
  <c r="CY111" i="10"/>
  <c r="DA110" i="10"/>
  <c r="CY110" i="10"/>
  <c r="DA109" i="10"/>
  <c r="CY109" i="10"/>
  <c r="DA108" i="10"/>
  <c r="CY108" i="10"/>
  <c r="DA107" i="10"/>
  <c r="CY107" i="10"/>
  <c r="DA106" i="10"/>
  <c r="CY106" i="10"/>
  <c r="DA105" i="10"/>
  <c r="CY105" i="10"/>
  <c r="DA104" i="10"/>
  <c r="CY104" i="10"/>
  <c r="DA103" i="10"/>
  <c r="CY103" i="10"/>
  <c r="DA102" i="10"/>
  <c r="CY102" i="10"/>
  <c r="DA101" i="10"/>
  <c r="CY101" i="10"/>
  <c r="DB100" i="10"/>
  <c r="DA99" i="10"/>
  <c r="CY99" i="10"/>
  <c r="CY98" i="10"/>
  <c r="CV94" i="10"/>
  <c r="CX93" i="10"/>
  <c r="CV93" i="10"/>
  <c r="CX89" i="10"/>
  <c r="CV89" i="10"/>
  <c r="CX88" i="10"/>
  <c r="CV88" i="10"/>
  <c r="CX87" i="10"/>
  <c r="CV87" i="10"/>
  <c r="CX85" i="10"/>
  <c r="CV85" i="10"/>
  <c r="CX84" i="10"/>
  <c r="CV84" i="10"/>
  <c r="CX83" i="10"/>
  <c r="CV83" i="10"/>
  <c r="CX82" i="10"/>
  <c r="CV82" i="10"/>
  <c r="CX81" i="10"/>
  <c r="CV81" i="10"/>
  <c r="CX80" i="10"/>
  <c r="CV80" i="10"/>
  <c r="CX79" i="10"/>
  <c r="CV79" i="10"/>
  <c r="CX78" i="10"/>
  <c r="CV78" i="10"/>
  <c r="CX77" i="10"/>
  <c r="CV77" i="10"/>
  <c r="CX76" i="10"/>
  <c r="CV76" i="10"/>
  <c r="CX75" i="10"/>
  <c r="CV75" i="10"/>
  <c r="CX74" i="10"/>
  <c r="CV74" i="10"/>
  <c r="CX73" i="10"/>
  <c r="CV73" i="10"/>
  <c r="CX72" i="10"/>
  <c r="CV72" i="10"/>
  <c r="CX71" i="10"/>
  <c r="CV71" i="10"/>
  <c r="CS65" i="10"/>
  <c r="CS64" i="10"/>
  <c r="CU63" i="10"/>
  <c r="CS63" i="10"/>
  <c r="CS62" i="10"/>
  <c r="CU61" i="10"/>
  <c r="CS61" i="10"/>
  <c r="CU60" i="10"/>
  <c r="CS60" i="10"/>
  <c r="CU59" i="10"/>
  <c r="CS59" i="10"/>
  <c r="CS58" i="10"/>
  <c r="CU57" i="10"/>
  <c r="CS57" i="10"/>
  <c r="CU56" i="10"/>
  <c r="CS56" i="10"/>
  <c r="CU55" i="10"/>
  <c r="CS55" i="10"/>
  <c r="CU54" i="10"/>
  <c r="CS54" i="10"/>
  <c r="CU53" i="10"/>
  <c r="CS53" i="10"/>
  <c r="CU52" i="10"/>
  <c r="CS52" i="10"/>
  <c r="CV51" i="10"/>
  <c r="CU50" i="10"/>
  <c r="CS50" i="10"/>
  <c r="CX49" i="10"/>
  <c r="CV49" i="10"/>
  <c r="CS48" i="10"/>
  <c r="CS47" i="10"/>
  <c r="CU46" i="10"/>
  <c r="CS46" i="10"/>
  <c r="CU45" i="10"/>
  <c r="CS45" i="10"/>
  <c r="CS44" i="10"/>
  <c r="CU43" i="10"/>
  <c r="CS43" i="10"/>
  <c r="CS42" i="10"/>
  <c r="CX41" i="10"/>
  <c r="CV41" i="10"/>
  <c r="CX40" i="10"/>
  <c r="CV40" i="10"/>
  <c r="CX39" i="10"/>
  <c r="CV39" i="10"/>
  <c r="CU38" i="10"/>
  <c r="CS38" i="10"/>
  <c r="CU37" i="10"/>
  <c r="CS37" i="10"/>
  <c r="CS36" i="10"/>
  <c r="CU35" i="10"/>
  <c r="CS35" i="10"/>
  <c r="CU34" i="10"/>
  <c r="CS34" i="10"/>
  <c r="CU33" i="10"/>
  <c r="CS33" i="10"/>
  <c r="CU32" i="10"/>
  <c r="CS32" i="10"/>
  <c r="CU31" i="10"/>
  <c r="CS31" i="10"/>
  <c r="CU30" i="10"/>
  <c r="CS30" i="10"/>
  <c r="CU29" i="10"/>
  <c r="CS29" i="10"/>
  <c r="CU28" i="10"/>
  <c r="CS28" i="10"/>
  <c r="CS27" i="10"/>
  <c r="DD21" i="10"/>
  <c r="DB21" i="10"/>
  <c r="DA19" i="10"/>
  <c r="CY19" i="10"/>
  <c r="CY18" i="10"/>
  <c r="DD17" i="10"/>
  <c r="DB17" i="10"/>
  <c r="CY16" i="10"/>
  <c r="DD15" i="10"/>
  <c r="DB15" i="10"/>
  <c r="CY14" i="10"/>
  <c r="DA13" i="10"/>
  <c r="CY13" i="10"/>
  <c r="CY12" i="10"/>
  <c r="DA11" i="10"/>
  <c r="CY11" i="10"/>
  <c r="DA10" i="10"/>
  <c r="CY10" i="10"/>
  <c r="DD9" i="10"/>
  <c r="DB9" i="10"/>
  <c r="DD8" i="10"/>
  <c r="DB8" i="10"/>
  <c r="DA7" i="10"/>
  <c r="CY7" i="10"/>
  <c r="DA6" i="10"/>
  <c r="CY6" i="10"/>
  <c r="CS123" i="10"/>
  <c r="CS66" i="10"/>
  <c r="CS67" i="10"/>
  <c r="OK40" i="8" l="1"/>
  <c r="OJ40" i="8"/>
  <c r="OI40" i="8"/>
  <c r="OH40" i="8"/>
  <c r="OG40" i="8"/>
  <c r="OF40" i="8"/>
  <c r="OE40" i="8"/>
  <c r="OD40" i="8"/>
  <c r="OC40" i="8"/>
  <c r="OB40" i="8"/>
  <c r="OA40" i="8"/>
  <c r="NZ40" i="8"/>
  <c r="OL39" i="8"/>
  <c r="OL38" i="8"/>
  <c r="OL37" i="8"/>
  <c r="OL36" i="8"/>
  <c r="OL35" i="8"/>
  <c r="OL34" i="8"/>
  <c r="OL33" i="8"/>
  <c r="OL32" i="8"/>
  <c r="OL31" i="8"/>
  <c r="OL30" i="8"/>
  <c r="OL29" i="8"/>
  <c r="OL28" i="8"/>
  <c r="OL27" i="8"/>
  <c r="OL26" i="8"/>
  <c r="OL25" i="8"/>
  <c r="OL24" i="8"/>
  <c r="OL23" i="8"/>
  <c r="OL22" i="8"/>
  <c r="OL21" i="8"/>
  <c r="OL20" i="8"/>
  <c r="OL19" i="8"/>
  <c r="OL18" i="8"/>
  <c r="OL17" i="8"/>
  <c r="OL16" i="8"/>
  <c r="OL15" i="8"/>
  <c r="OL14" i="8"/>
  <c r="OL13" i="8"/>
  <c r="OL12" i="8"/>
  <c r="OL11" i="8"/>
  <c r="OL10" i="8"/>
  <c r="OL9" i="8"/>
  <c r="OL8" i="8"/>
  <c r="OL7" i="8"/>
  <c r="OL6" i="8"/>
  <c r="NX40" i="8"/>
  <c r="NW40" i="8"/>
  <c r="NV40" i="8"/>
  <c r="NU40" i="8"/>
  <c r="NT40" i="8"/>
  <c r="NS40" i="8"/>
  <c r="NR40" i="8"/>
  <c r="NQ40" i="8"/>
  <c r="NP40" i="8"/>
  <c r="NO40" i="8"/>
  <c r="NN40" i="8"/>
  <c r="NM40" i="8"/>
  <c r="NY39" i="8"/>
  <c r="NY38" i="8"/>
  <c r="NY37" i="8"/>
  <c r="NY36" i="8"/>
  <c r="NY35" i="8"/>
  <c r="NY34" i="8"/>
  <c r="NY33" i="8"/>
  <c r="NY32" i="8"/>
  <c r="NY31" i="8"/>
  <c r="NY30" i="8"/>
  <c r="NY29" i="8"/>
  <c r="NY28" i="8"/>
  <c r="NY27" i="8"/>
  <c r="NY26" i="8"/>
  <c r="NY25" i="8"/>
  <c r="NY24" i="8"/>
  <c r="NY23" i="8"/>
  <c r="NY22" i="8"/>
  <c r="NY21" i="8"/>
  <c r="NY20" i="8"/>
  <c r="NY19" i="8"/>
  <c r="NY18" i="8"/>
  <c r="NY17" i="8"/>
  <c r="NY16" i="8"/>
  <c r="NY15" i="8"/>
  <c r="NY14" i="8"/>
  <c r="NY13" i="8"/>
  <c r="NY12" i="8"/>
  <c r="NY11" i="8"/>
  <c r="NY10" i="8"/>
  <c r="NY9" i="8"/>
  <c r="NY8" i="8"/>
  <c r="NY7" i="8"/>
  <c r="NY6" i="8"/>
  <c r="OL40" i="8" l="1"/>
  <c r="NY40" i="8"/>
  <c r="OM40" i="8"/>
  <c r="NK40" i="16"/>
  <c r="NJ40" i="16"/>
  <c r="NI40" i="16"/>
  <c r="NH40" i="16"/>
  <c r="NG40" i="16"/>
  <c r="NF40" i="16"/>
  <c r="NE40" i="16"/>
  <c r="ND40" i="16"/>
  <c r="NC40" i="16"/>
  <c r="NB40" i="16"/>
  <c r="NA40" i="16"/>
  <c r="MZ40" i="16"/>
  <c r="MW40" i="16"/>
  <c r="MV40" i="16"/>
  <c r="MU40" i="16"/>
  <c r="MT40" i="16"/>
  <c r="MS40" i="16"/>
  <c r="MR40" i="16"/>
  <c r="MQ40" i="16"/>
  <c r="MP40" i="16"/>
  <c r="MO40" i="16"/>
  <c r="MN40" i="16"/>
  <c r="MM40" i="16"/>
  <c r="ML40" i="16"/>
  <c r="MJ40" i="16"/>
  <c r="MI40" i="16"/>
  <c r="MH40" i="16"/>
  <c r="MG40" i="16"/>
  <c r="MF40" i="16"/>
  <c r="ME40" i="16"/>
  <c r="MD40" i="16"/>
  <c r="MC40" i="16"/>
  <c r="MB40" i="16"/>
  <c r="MA40" i="16"/>
  <c r="LZ40" i="16"/>
  <c r="LY40" i="16"/>
  <c r="LW40" i="16"/>
  <c r="LV40" i="16"/>
  <c r="LU40" i="16"/>
  <c r="LT40" i="16"/>
  <c r="LS40" i="16"/>
  <c r="LR40" i="16"/>
  <c r="LQ40" i="16"/>
  <c r="LP40" i="16"/>
  <c r="LO40" i="16"/>
  <c r="LN40" i="16"/>
  <c r="LM40" i="16"/>
  <c r="LL40" i="16"/>
  <c r="LI40" i="16"/>
  <c r="LH40" i="16"/>
  <c r="LG40" i="16"/>
  <c r="LF40" i="16"/>
  <c r="LE40" i="16"/>
  <c r="LD40" i="16"/>
  <c r="LC40" i="16"/>
  <c r="LB40" i="16"/>
  <c r="LA40" i="16"/>
  <c r="KZ40" i="16"/>
  <c r="KY40" i="16"/>
  <c r="KX40" i="16"/>
  <c r="KV40" i="16"/>
  <c r="KU40" i="16"/>
  <c r="KT40" i="16"/>
  <c r="KS40" i="16"/>
  <c r="KR40" i="16"/>
  <c r="KQ40" i="16"/>
  <c r="KP40" i="16"/>
  <c r="KO40" i="16"/>
  <c r="KN40" i="16"/>
  <c r="KM40" i="16"/>
  <c r="KL40" i="16"/>
  <c r="KK40" i="16"/>
  <c r="KI40" i="16"/>
  <c r="KH40" i="16"/>
  <c r="KG40" i="16"/>
  <c r="KF40" i="16"/>
  <c r="KE40" i="16"/>
  <c r="KD40" i="16"/>
  <c r="KC40" i="16"/>
  <c r="KB40" i="16"/>
  <c r="KA40" i="16"/>
  <c r="JZ40" i="16"/>
  <c r="JY40" i="16"/>
  <c r="JX40" i="16"/>
  <c r="JU40" i="16"/>
  <c r="JT40" i="16"/>
  <c r="JS40" i="16"/>
  <c r="JR40" i="16"/>
  <c r="JQ40" i="16"/>
  <c r="JP40" i="16"/>
  <c r="JO40" i="16"/>
  <c r="JN40" i="16"/>
  <c r="JM40" i="16"/>
  <c r="JL40" i="16"/>
  <c r="JK40" i="16"/>
  <c r="JJ40" i="16"/>
  <c r="JH40" i="16"/>
  <c r="JG40" i="16"/>
  <c r="JF40" i="16"/>
  <c r="JE40" i="16"/>
  <c r="JD40" i="16"/>
  <c r="JC40" i="16"/>
  <c r="JB40" i="16"/>
  <c r="JA40" i="16"/>
  <c r="IZ40" i="16"/>
  <c r="IY40" i="16"/>
  <c r="IX40" i="16"/>
  <c r="IW40" i="16"/>
  <c r="IU40" i="16"/>
  <c r="IT40" i="16"/>
  <c r="IS40" i="16"/>
  <c r="IR40" i="16"/>
  <c r="IQ40" i="16"/>
  <c r="IP40" i="16"/>
  <c r="IO40" i="16"/>
  <c r="IN40" i="16"/>
  <c r="IM40" i="16"/>
  <c r="IL40" i="16"/>
  <c r="IK40" i="16"/>
  <c r="IJ40" i="16"/>
  <c r="IG40" i="16"/>
  <c r="IF40" i="16"/>
  <c r="IE40" i="16"/>
  <c r="ID40" i="16"/>
  <c r="IC40" i="16"/>
  <c r="IB40" i="16"/>
  <c r="IA40" i="16"/>
  <c r="HZ40" i="16"/>
  <c r="HY40" i="16"/>
  <c r="HX40" i="16"/>
  <c r="HW40" i="16"/>
  <c r="HV40" i="16"/>
  <c r="HT40" i="16"/>
  <c r="HS40" i="16"/>
  <c r="HR40" i="16"/>
  <c r="HQ40" i="16"/>
  <c r="HP40" i="16"/>
  <c r="HO40" i="16"/>
  <c r="HN40" i="16"/>
  <c r="HM40" i="16"/>
  <c r="HL40" i="16"/>
  <c r="HK40" i="16"/>
  <c r="HJ40" i="16"/>
  <c r="HI40" i="16"/>
  <c r="HG40" i="16"/>
  <c r="HF40" i="16"/>
  <c r="HE40" i="16"/>
  <c r="HD40" i="16"/>
  <c r="HC40" i="16"/>
  <c r="HB40" i="16"/>
  <c r="HA40" i="16"/>
  <c r="GZ40" i="16"/>
  <c r="GY40" i="16"/>
  <c r="GX40" i="16"/>
  <c r="GW40" i="16"/>
  <c r="GV40" i="16"/>
  <c r="GS40" i="16"/>
  <c r="GR40" i="16"/>
  <c r="GQ40" i="16"/>
  <c r="GP40" i="16"/>
  <c r="GO40" i="16"/>
  <c r="GN40" i="16"/>
  <c r="GM40" i="16"/>
  <c r="GL40" i="16"/>
  <c r="GK40" i="16"/>
  <c r="GJ40" i="16"/>
  <c r="GI40" i="16"/>
  <c r="GH40" i="16"/>
  <c r="GF40" i="16"/>
  <c r="GE40" i="16"/>
  <c r="GD40" i="16"/>
  <c r="GC40" i="16"/>
  <c r="GB40" i="16"/>
  <c r="GA40" i="16"/>
  <c r="FZ40" i="16"/>
  <c r="FY40" i="16"/>
  <c r="FX40" i="16"/>
  <c r="FW40" i="16"/>
  <c r="FV40" i="16"/>
  <c r="FU40" i="16"/>
  <c r="FS40" i="16"/>
  <c r="FR40" i="16"/>
  <c r="FQ40" i="16"/>
  <c r="FP40" i="16"/>
  <c r="FO40" i="16"/>
  <c r="FN40" i="16"/>
  <c r="FM40" i="16"/>
  <c r="FL40" i="16"/>
  <c r="FK40" i="16"/>
  <c r="FJ40" i="16"/>
  <c r="FI40" i="16"/>
  <c r="FH40" i="16"/>
  <c r="FE40" i="16"/>
  <c r="FD40" i="16"/>
  <c r="FC40" i="16"/>
  <c r="FB40" i="16"/>
  <c r="FA40" i="16"/>
  <c r="EZ40" i="16"/>
  <c r="EY40" i="16"/>
  <c r="EX40" i="16"/>
  <c r="EW40" i="16"/>
  <c r="EV40" i="16"/>
  <c r="EU40" i="16"/>
  <c r="ET40" i="16"/>
  <c r="ER40" i="16"/>
  <c r="EQ40" i="16"/>
  <c r="EP40" i="16"/>
  <c r="EO40" i="16"/>
  <c r="EN40" i="16"/>
  <c r="EM40" i="16"/>
  <c r="EL40" i="16"/>
  <c r="EK40" i="16"/>
  <c r="EJ40" i="16"/>
  <c r="EI40" i="16"/>
  <c r="EH40" i="16"/>
  <c r="EG40" i="16"/>
  <c r="EE40" i="16"/>
  <c r="ED40" i="16"/>
  <c r="EC40" i="16"/>
  <c r="EB40" i="16"/>
  <c r="EA40" i="16"/>
  <c r="DZ40" i="16"/>
  <c r="DY40" i="16"/>
  <c r="DX40" i="16"/>
  <c r="DW40" i="16"/>
  <c r="DV40" i="16"/>
  <c r="DU40" i="16"/>
  <c r="DT40" i="16"/>
  <c r="DQ40" i="16"/>
  <c r="DP40" i="16"/>
  <c r="DO40" i="16"/>
  <c r="DN40" i="16"/>
  <c r="DM40" i="16"/>
  <c r="DL40" i="16"/>
  <c r="DK40" i="16"/>
  <c r="DJ40" i="16"/>
  <c r="DI40" i="16"/>
  <c r="DH40" i="16"/>
  <c r="DG40" i="16"/>
  <c r="DF40" i="16"/>
  <c r="DD40" i="16"/>
  <c r="DC40" i="16"/>
  <c r="DB40" i="16"/>
  <c r="DA40" i="16"/>
  <c r="CZ40" i="16"/>
  <c r="CY40" i="16"/>
  <c r="CX40" i="16"/>
  <c r="CW40" i="16"/>
  <c r="CV40" i="16"/>
  <c r="CU40" i="16"/>
  <c r="CT40" i="16"/>
  <c r="CS40" i="16"/>
  <c r="CQ40" i="16"/>
  <c r="CP40" i="16"/>
  <c r="CO40" i="16"/>
  <c r="CN40" i="16"/>
  <c r="CM40" i="16"/>
  <c r="CL40" i="16"/>
  <c r="CK40" i="16"/>
  <c r="CJ40" i="16"/>
  <c r="CI40" i="16"/>
  <c r="CH40" i="16"/>
  <c r="CG40" i="16"/>
  <c r="CF40" i="16"/>
  <c r="CC40" i="16"/>
  <c r="CB40" i="16"/>
  <c r="CA40" i="16"/>
  <c r="BZ40" i="16"/>
  <c r="BY40" i="16"/>
  <c r="BX40" i="16"/>
  <c r="BW40" i="16"/>
  <c r="BV40" i="16"/>
  <c r="BU40" i="16"/>
  <c r="BT40" i="16"/>
  <c r="BS40" i="16"/>
  <c r="BR40" i="16"/>
  <c r="BP40" i="16"/>
  <c r="BO40" i="16"/>
  <c r="BN40" i="16"/>
  <c r="BM40" i="16"/>
  <c r="BL40" i="16"/>
  <c r="BK40" i="16"/>
  <c r="BJ40" i="16"/>
  <c r="BI40" i="16"/>
  <c r="BH40" i="16"/>
  <c r="BG40" i="16"/>
  <c r="BF40" i="16"/>
  <c r="BE40" i="16"/>
  <c r="BC40" i="16"/>
  <c r="BB40" i="16"/>
  <c r="BA40" i="16"/>
  <c r="AZ40" i="16"/>
  <c r="AY40" i="16"/>
  <c r="AX40" i="16"/>
  <c r="AW40" i="16"/>
  <c r="AV40" i="16"/>
  <c r="AU40" i="16"/>
  <c r="AT40" i="16"/>
  <c r="AS40" i="16"/>
  <c r="AR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NL39" i="16"/>
  <c r="MX39" i="16"/>
  <c r="MK39" i="16"/>
  <c r="LX39" i="16"/>
  <c r="LJ39" i="16"/>
  <c r="KW39" i="16"/>
  <c r="KJ39" i="16"/>
  <c r="JV39" i="16"/>
  <c r="JI39" i="16"/>
  <c r="IV39" i="16"/>
  <c r="IH39" i="16"/>
  <c r="HU39" i="16"/>
  <c r="HH39" i="16"/>
  <c r="II39" i="16" s="1"/>
  <c r="GT39" i="16"/>
  <c r="GG39" i="16"/>
  <c r="FT39" i="16"/>
  <c r="FF39" i="16"/>
  <c r="ES39" i="16"/>
  <c r="EF39" i="16"/>
  <c r="FG39" i="16" s="1"/>
  <c r="DR39" i="16"/>
  <c r="DE39" i="16"/>
  <c r="CR39" i="16"/>
  <c r="CD39" i="16"/>
  <c r="BQ39" i="16"/>
  <c r="BD39" i="16"/>
  <c r="CE39" i="16" s="1"/>
  <c r="AP39" i="16"/>
  <c r="AC39" i="16"/>
  <c r="P39" i="16"/>
  <c r="NL38" i="16"/>
  <c r="MX38" i="16"/>
  <c r="MK38" i="16"/>
  <c r="LX38" i="16"/>
  <c r="MY38" i="16" s="1"/>
  <c r="LJ38" i="16"/>
  <c r="KW38" i="16"/>
  <c r="KJ38" i="16"/>
  <c r="JV38" i="16"/>
  <c r="JI38" i="16"/>
  <c r="IV38" i="16"/>
  <c r="JW38" i="16" s="1"/>
  <c r="IH38" i="16"/>
  <c r="HU38" i="16"/>
  <c r="HH38" i="16"/>
  <c r="GT38" i="16"/>
  <c r="GG38" i="16"/>
  <c r="FT38" i="16"/>
  <c r="GU38" i="16" s="1"/>
  <c r="FF38" i="16"/>
  <c r="ES38" i="16"/>
  <c r="EF38" i="16"/>
  <c r="DR38" i="16"/>
  <c r="DE38" i="16"/>
  <c r="CR38" i="16"/>
  <c r="DS38" i="16" s="1"/>
  <c r="CD38" i="16"/>
  <c r="BQ38" i="16"/>
  <c r="BD38" i="16"/>
  <c r="AP38" i="16"/>
  <c r="AC38" i="16"/>
  <c r="P38" i="16"/>
  <c r="AQ38" i="16" s="1"/>
  <c r="NL37" i="16"/>
  <c r="MX37" i="16"/>
  <c r="MK37" i="16"/>
  <c r="LX37" i="16"/>
  <c r="LJ37" i="16"/>
  <c r="KW37" i="16"/>
  <c r="KJ37" i="16"/>
  <c r="JV37" i="16"/>
  <c r="JI37" i="16"/>
  <c r="IV37" i="16"/>
  <c r="IH37" i="16"/>
  <c r="HU37" i="16"/>
  <c r="HH37" i="16"/>
  <c r="GT37" i="16"/>
  <c r="GG37" i="16"/>
  <c r="FT37" i="16"/>
  <c r="FF37" i="16"/>
  <c r="ES37" i="16"/>
  <c r="EF37" i="16"/>
  <c r="DR37" i="16"/>
  <c r="DE37" i="16"/>
  <c r="CR37" i="16"/>
  <c r="CD37" i="16"/>
  <c r="BQ37" i="16"/>
  <c r="BD37" i="16"/>
  <c r="AP37" i="16"/>
  <c r="AC37" i="16"/>
  <c r="P37" i="16"/>
  <c r="AQ37" i="16" s="1"/>
  <c r="NL36" i="16"/>
  <c r="MX36" i="16"/>
  <c r="MK36" i="16"/>
  <c r="LX36" i="16"/>
  <c r="LJ36" i="16"/>
  <c r="KW36" i="16"/>
  <c r="KJ36" i="16"/>
  <c r="JV36" i="16"/>
  <c r="JI36" i="16"/>
  <c r="IV36" i="16"/>
  <c r="IH36" i="16"/>
  <c r="HU36" i="16"/>
  <c r="HH36" i="16"/>
  <c r="GT36" i="16"/>
  <c r="GG36" i="16"/>
  <c r="FT36" i="16"/>
  <c r="FF36" i="16"/>
  <c r="ES36" i="16"/>
  <c r="EF36" i="16"/>
  <c r="DR36" i="16"/>
  <c r="DE36" i="16"/>
  <c r="CR36" i="16"/>
  <c r="CD36" i="16"/>
  <c r="BQ36" i="16"/>
  <c r="BD36" i="16"/>
  <c r="AP36" i="16"/>
  <c r="AC36" i="16"/>
  <c r="P36" i="16"/>
  <c r="NL35" i="16"/>
  <c r="MX35" i="16"/>
  <c r="MK35" i="16"/>
  <c r="LX35" i="16"/>
  <c r="MY35" i="16" s="1"/>
  <c r="LJ35" i="16"/>
  <c r="KW35" i="16"/>
  <c r="KJ35" i="16"/>
  <c r="JV35" i="16"/>
  <c r="JI35" i="16"/>
  <c r="IV35" i="16"/>
  <c r="JW35" i="16" s="1"/>
  <c r="IH35" i="16"/>
  <c r="HU35" i="16"/>
  <c r="HH35" i="16"/>
  <c r="GT35" i="16"/>
  <c r="GG35" i="16"/>
  <c r="FT35" i="16"/>
  <c r="GU35" i="16" s="1"/>
  <c r="FF35" i="16"/>
  <c r="ES35" i="16"/>
  <c r="EF35" i="16"/>
  <c r="DR35" i="16"/>
  <c r="DE35" i="16"/>
  <c r="CR35" i="16"/>
  <c r="DS35" i="16" s="1"/>
  <c r="CD35" i="16"/>
  <c r="BQ35" i="16"/>
  <c r="BD35" i="16"/>
  <c r="AP35" i="16"/>
  <c r="AC35" i="16"/>
  <c r="P35" i="16"/>
  <c r="AQ35" i="16" s="1"/>
  <c r="NL34" i="16"/>
  <c r="MX34" i="16"/>
  <c r="MK34" i="16"/>
  <c r="LX34" i="16"/>
  <c r="LJ34" i="16"/>
  <c r="KW34" i="16"/>
  <c r="KJ34" i="16"/>
  <c r="JV34" i="16"/>
  <c r="JI34" i="16"/>
  <c r="IV34" i="16"/>
  <c r="JW34" i="16" s="1"/>
  <c r="IH34" i="16"/>
  <c r="HU34" i="16"/>
  <c r="HH34" i="16"/>
  <c r="GT34" i="16"/>
  <c r="GG34" i="16"/>
  <c r="FT34" i="16"/>
  <c r="GU34" i="16" s="1"/>
  <c r="FF34" i="16"/>
  <c r="ES34" i="16"/>
  <c r="EF34" i="16"/>
  <c r="DR34" i="16"/>
  <c r="DE34" i="16"/>
  <c r="CR34" i="16"/>
  <c r="DS34" i="16" s="1"/>
  <c r="CD34" i="16"/>
  <c r="BQ34" i="16"/>
  <c r="BD34" i="16"/>
  <c r="AP34" i="16"/>
  <c r="AC34" i="16"/>
  <c r="P34" i="16"/>
  <c r="AQ34" i="16" s="1"/>
  <c r="NL33" i="16"/>
  <c r="MX33" i="16"/>
  <c r="MK33" i="16"/>
  <c r="LX33" i="16"/>
  <c r="LJ33" i="16"/>
  <c r="KW33" i="16"/>
  <c r="KJ33" i="16"/>
  <c r="JV33" i="16"/>
  <c r="JI33" i="16"/>
  <c r="IV33" i="16"/>
  <c r="IH33" i="16"/>
  <c r="HU33" i="16"/>
  <c r="HH33" i="16"/>
  <c r="GT33" i="16"/>
  <c r="GG33" i="16"/>
  <c r="FT33" i="16"/>
  <c r="FF33" i="16"/>
  <c r="ES33" i="16"/>
  <c r="EF33" i="16"/>
  <c r="DR33" i="16"/>
  <c r="DE33" i="16"/>
  <c r="CR33" i="16"/>
  <c r="CD33" i="16"/>
  <c r="BQ33" i="16"/>
  <c r="BD33" i="16"/>
  <c r="AP33" i="16"/>
  <c r="AC33" i="16"/>
  <c r="P33" i="16"/>
  <c r="NL32" i="16"/>
  <c r="MX32" i="16"/>
  <c r="MK32" i="16"/>
  <c r="LX32" i="16"/>
  <c r="LJ32" i="16"/>
  <c r="KW32" i="16"/>
  <c r="KJ32" i="16"/>
  <c r="JV32" i="16"/>
  <c r="JI32" i="16"/>
  <c r="IV32" i="16"/>
  <c r="JW32" i="16" s="1"/>
  <c r="IH32" i="16"/>
  <c r="HU32" i="16"/>
  <c r="HH32" i="16"/>
  <c r="GT32" i="16"/>
  <c r="GG32" i="16"/>
  <c r="FT32" i="16"/>
  <c r="GU32" i="16" s="1"/>
  <c r="FF32" i="16"/>
  <c r="ES32" i="16"/>
  <c r="EF32" i="16"/>
  <c r="DR32" i="16"/>
  <c r="DE32" i="16"/>
  <c r="CR32" i="16"/>
  <c r="DS32" i="16" s="1"/>
  <c r="CD32" i="16"/>
  <c r="BQ32" i="16"/>
  <c r="BD32" i="16"/>
  <c r="AP32" i="16"/>
  <c r="AC32" i="16"/>
  <c r="P32" i="16"/>
  <c r="AQ32" i="16" s="1"/>
  <c r="NL31" i="16"/>
  <c r="MX31" i="16"/>
  <c r="MK31" i="16"/>
  <c r="LX31" i="16"/>
  <c r="LJ31" i="16"/>
  <c r="KW31" i="16"/>
  <c r="KJ31" i="16"/>
  <c r="JV31" i="16"/>
  <c r="JI31" i="16"/>
  <c r="IV31" i="16"/>
  <c r="IH31" i="16"/>
  <c r="HU31" i="16"/>
  <c r="HH31" i="16"/>
  <c r="GT31" i="16"/>
  <c r="GG31" i="16"/>
  <c r="FT31" i="16"/>
  <c r="FF31" i="16"/>
  <c r="ES31" i="16"/>
  <c r="EF31" i="16"/>
  <c r="DR31" i="16"/>
  <c r="DE31" i="16"/>
  <c r="CR31" i="16"/>
  <c r="CD31" i="16"/>
  <c r="BQ31" i="16"/>
  <c r="BD31" i="16"/>
  <c r="AP31" i="16"/>
  <c r="AC31" i="16"/>
  <c r="P31" i="16"/>
  <c r="NL30" i="16"/>
  <c r="MX30" i="16"/>
  <c r="MK30" i="16"/>
  <c r="LX30" i="16"/>
  <c r="LJ30" i="16"/>
  <c r="KW30" i="16"/>
  <c r="KJ30" i="16"/>
  <c r="JV30" i="16"/>
  <c r="JI30" i="16"/>
  <c r="IV30" i="16"/>
  <c r="IH30" i="16"/>
  <c r="HU30" i="16"/>
  <c r="HH30" i="16"/>
  <c r="GT30" i="16"/>
  <c r="GG30" i="16"/>
  <c r="FT30" i="16"/>
  <c r="FF30" i="16"/>
  <c r="ES30" i="16"/>
  <c r="EF30" i="16"/>
  <c r="DR30" i="16"/>
  <c r="DE30" i="16"/>
  <c r="CR30" i="16"/>
  <c r="CD30" i="16"/>
  <c r="BQ30" i="16"/>
  <c r="BD30" i="16"/>
  <c r="AP30" i="16"/>
  <c r="AC30" i="16"/>
  <c r="P30" i="16"/>
  <c r="NL29" i="16"/>
  <c r="MX29" i="16"/>
  <c r="MK29" i="16"/>
  <c r="LX29" i="16"/>
  <c r="MY29" i="16" s="1"/>
  <c r="LJ29" i="16"/>
  <c r="KW29" i="16"/>
  <c r="KJ29" i="16"/>
  <c r="JV29" i="16"/>
  <c r="JI29" i="16"/>
  <c r="IV29" i="16"/>
  <c r="JW29" i="16" s="1"/>
  <c r="IH29" i="16"/>
  <c r="HU29" i="16"/>
  <c r="HH29" i="16"/>
  <c r="GT29" i="16"/>
  <c r="GG29" i="16"/>
  <c r="FT29" i="16"/>
  <c r="GU29" i="16" s="1"/>
  <c r="FF29" i="16"/>
  <c r="ES29" i="16"/>
  <c r="EF29" i="16"/>
  <c r="DR29" i="16"/>
  <c r="DE29" i="16"/>
  <c r="CR29" i="16"/>
  <c r="DS29" i="16" s="1"/>
  <c r="CD29" i="16"/>
  <c r="BQ29" i="16"/>
  <c r="BD29" i="16"/>
  <c r="AP29" i="16"/>
  <c r="AC29" i="16"/>
  <c r="P29" i="16"/>
  <c r="AQ29" i="16" s="1"/>
  <c r="NL28" i="16"/>
  <c r="MX28" i="16"/>
  <c r="MK28" i="16"/>
  <c r="LX28" i="16"/>
  <c r="LJ28" i="16"/>
  <c r="KW28" i="16"/>
  <c r="KJ28" i="16"/>
  <c r="JV28" i="16"/>
  <c r="JI28" i="16"/>
  <c r="IV28" i="16"/>
  <c r="IH28" i="16"/>
  <c r="HU28" i="16"/>
  <c r="HH28" i="16"/>
  <c r="GT28" i="16"/>
  <c r="GG28" i="16"/>
  <c r="FT28" i="16"/>
  <c r="FF28" i="16"/>
  <c r="ES28" i="16"/>
  <c r="EF28" i="16"/>
  <c r="DR28" i="16"/>
  <c r="DE28" i="16"/>
  <c r="CR28" i="16"/>
  <c r="CD28" i="16"/>
  <c r="BQ28" i="16"/>
  <c r="BD28" i="16"/>
  <c r="AP28" i="16"/>
  <c r="AC28" i="16"/>
  <c r="P28" i="16"/>
  <c r="NL27" i="16"/>
  <c r="MX27" i="16"/>
  <c r="MK27" i="16"/>
  <c r="LX27" i="16"/>
  <c r="LJ27" i="16"/>
  <c r="KW27" i="16"/>
  <c r="KJ27" i="16"/>
  <c r="JV27" i="16"/>
  <c r="JI27" i="16"/>
  <c r="IV27" i="16"/>
  <c r="IH27" i="16"/>
  <c r="HU27" i="16"/>
  <c r="HH27" i="16"/>
  <c r="GT27" i="16"/>
  <c r="GG27" i="16"/>
  <c r="FT27" i="16"/>
  <c r="FF27" i="16"/>
  <c r="ES27" i="16"/>
  <c r="EF27" i="16"/>
  <c r="DR27" i="16"/>
  <c r="DE27" i="16"/>
  <c r="CR27" i="16"/>
  <c r="CD27" i="16"/>
  <c r="BQ27" i="16"/>
  <c r="BD27" i="16"/>
  <c r="AP27" i="16"/>
  <c r="AC27" i="16"/>
  <c r="P27" i="16"/>
  <c r="NL26" i="16"/>
  <c r="MX26" i="16"/>
  <c r="MK26" i="16"/>
  <c r="LX26" i="16"/>
  <c r="LJ26" i="16"/>
  <c r="KW26" i="16"/>
  <c r="KJ26" i="16"/>
  <c r="JV26" i="16"/>
  <c r="JI26" i="16"/>
  <c r="IV26" i="16"/>
  <c r="IH26" i="16"/>
  <c r="HU26" i="16"/>
  <c r="HH26" i="16"/>
  <c r="GT26" i="16"/>
  <c r="GG26" i="16"/>
  <c r="FT26" i="16"/>
  <c r="FF26" i="16"/>
  <c r="ES26" i="16"/>
  <c r="EF26" i="16"/>
  <c r="DR26" i="16"/>
  <c r="DE26" i="16"/>
  <c r="CR26" i="16"/>
  <c r="CD26" i="16"/>
  <c r="BQ26" i="16"/>
  <c r="BD26" i="16"/>
  <c r="AP26" i="16"/>
  <c r="AC26" i="16"/>
  <c r="P26" i="16"/>
  <c r="NL25" i="16"/>
  <c r="MX25" i="16"/>
  <c r="MK25" i="16"/>
  <c r="LX25" i="16"/>
  <c r="LJ25" i="16"/>
  <c r="KW25" i="16"/>
  <c r="LK25" i="16" s="1"/>
  <c r="KJ25" i="16"/>
  <c r="JV25" i="16"/>
  <c r="JI25" i="16"/>
  <c r="IV25" i="16"/>
  <c r="IH25" i="16"/>
  <c r="HU25" i="16"/>
  <c r="HH25" i="16"/>
  <c r="GT25" i="16"/>
  <c r="GG25" i="16"/>
  <c r="FT25" i="16"/>
  <c r="FF25" i="16"/>
  <c r="ES25" i="16"/>
  <c r="EF25" i="16"/>
  <c r="DR25" i="16"/>
  <c r="DE25" i="16"/>
  <c r="CR25" i="16"/>
  <c r="CD25" i="16"/>
  <c r="BQ25" i="16"/>
  <c r="CE25" i="16" s="1"/>
  <c r="BD25" i="16"/>
  <c r="AP25" i="16"/>
  <c r="AC25" i="16"/>
  <c r="P25" i="16"/>
  <c r="NL24" i="16"/>
  <c r="MX24" i="16"/>
  <c r="MK24" i="16"/>
  <c r="LX24" i="16"/>
  <c r="LJ24" i="16"/>
  <c r="KW24" i="16"/>
  <c r="KJ24" i="16"/>
  <c r="JV24" i="16"/>
  <c r="JI24" i="16"/>
  <c r="IV24" i="16"/>
  <c r="IH24" i="16"/>
  <c r="HU24" i="16"/>
  <c r="HH24" i="16"/>
  <c r="GT24" i="16"/>
  <c r="GG24" i="16"/>
  <c r="FT24" i="16"/>
  <c r="FF24" i="16"/>
  <c r="ES24" i="16"/>
  <c r="EF24" i="16"/>
  <c r="DR24" i="16"/>
  <c r="DE24" i="16"/>
  <c r="CR24" i="16"/>
  <c r="CD24" i="16"/>
  <c r="BQ24" i="16"/>
  <c r="BD24" i="16"/>
  <c r="AP24" i="16"/>
  <c r="AC24" i="16"/>
  <c r="P24" i="16"/>
  <c r="NL23" i="16"/>
  <c r="MX23" i="16"/>
  <c r="MK23" i="16"/>
  <c r="LX23" i="16"/>
  <c r="LJ23" i="16"/>
  <c r="KW23" i="16"/>
  <c r="KJ23" i="16"/>
  <c r="JV23" i="16"/>
  <c r="JI23" i="16"/>
  <c r="IV23" i="16"/>
  <c r="IH23" i="16"/>
  <c r="HU23" i="16"/>
  <c r="HH23" i="16"/>
  <c r="GT23" i="16"/>
  <c r="GG23" i="16"/>
  <c r="FT23" i="16"/>
  <c r="FF23" i="16"/>
  <c r="ES23" i="16"/>
  <c r="EF23" i="16"/>
  <c r="DR23" i="16"/>
  <c r="DE23" i="16"/>
  <c r="CR23" i="16"/>
  <c r="CD23" i="16"/>
  <c r="BQ23" i="16"/>
  <c r="BD23" i="16"/>
  <c r="AP23" i="16"/>
  <c r="AC23" i="16"/>
  <c r="P23" i="16"/>
  <c r="NL22" i="16"/>
  <c r="MX22" i="16"/>
  <c r="MK22" i="16"/>
  <c r="LX22" i="16"/>
  <c r="LJ22" i="16"/>
  <c r="KW22" i="16"/>
  <c r="LK22" i="16" s="1"/>
  <c r="KJ22" i="16"/>
  <c r="JV22" i="16"/>
  <c r="JI22" i="16"/>
  <c r="IV22" i="16"/>
  <c r="IH22" i="16"/>
  <c r="HU22" i="16"/>
  <c r="HH22" i="16"/>
  <c r="GT22" i="16"/>
  <c r="GG22" i="16"/>
  <c r="FT22" i="16"/>
  <c r="FF22" i="16"/>
  <c r="ES22" i="16"/>
  <c r="EF22" i="16"/>
  <c r="DR22" i="16"/>
  <c r="DE22" i="16"/>
  <c r="CR22" i="16"/>
  <c r="CD22" i="16"/>
  <c r="BQ22" i="16"/>
  <c r="CE22" i="16" s="1"/>
  <c r="BD22" i="16"/>
  <c r="AP22" i="16"/>
  <c r="AC22" i="16"/>
  <c r="P22" i="16"/>
  <c r="NL21" i="16"/>
  <c r="MX21" i="16"/>
  <c r="MK21" i="16"/>
  <c r="LX21" i="16"/>
  <c r="LJ21" i="16"/>
  <c r="KW21" i="16"/>
  <c r="KJ21" i="16"/>
  <c r="JV21" i="16"/>
  <c r="JI21" i="16"/>
  <c r="IV21" i="16"/>
  <c r="IH21" i="16"/>
  <c r="HU21" i="16"/>
  <c r="HH21" i="16"/>
  <c r="GT21" i="16"/>
  <c r="GG21" i="16"/>
  <c r="FT21" i="16"/>
  <c r="FF21" i="16"/>
  <c r="ES21" i="16"/>
  <c r="EF21" i="16"/>
  <c r="DR21" i="16"/>
  <c r="DE21" i="16"/>
  <c r="CR21" i="16"/>
  <c r="CD21" i="16"/>
  <c r="BQ21" i="16"/>
  <c r="BD21" i="16"/>
  <c r="AP21" i="16"/>
  <c r="AC21" i="16"/>
  <c r="P21" i="16"/>
  <c r="NL20" i="16"/>
  <c r="MX20" i="16"/>
  <c r="MK20" i="16"/>
  <c r="LX20" i="16"/>
  <c r="LJ20" i="16"/>
  <c r="KW20" i="16"/>
  <c r="KJ20" i="16"/>
  <c r="JV20" i="16"/>
  <c r="JI20" i="16"/>
  <c r="IV20" i="16"/>
  <c r="IH20" i="16"/>
  <c r="HU20" i="16"/>
  <c r="HH20" i="16"/>
  <c r="GT20" i="16"/>
  <c r="GG20" i="16"/>
  <c r="FT20" i="16"/>
  <c r="FF20" i="16"/>
  <c r="ES20" i="16"/>
  <c r="EF20" i="16"/>
  <c r="DR20" i="16"/>
  <c r="DE20" i="16"/>
  <c r="CR20" i="16"/>
  <c r="CD20" i="16"/>
  <c r="BQ20" i="16"/>
  <c r="BD20" i="16"/>
  <c r="AP20" i="16"/>
  <c r="AC20" i="16"/>
  <c r="P20" i="16"/>
  <c r="NL19" i="16"/>
  <c r="MX19" i="16"/>
  <c r="MK19" i="16"/>
  <c r="LX19" i="16"/>
  <c r="LJ19" i="16"/>
  <c r="KW19" i="16"/>
  <c r="LK19" i="16" s="1"/>
  <c r="KJ19" i="16"/>
  <c r="JV19" i="16"/>
  <c r="JI19" i="16"/>
  <c r="IV19" i="16"/>
  <c r="IH19" i="16"/>
  <c r="HU19" i="16"/>
  <c r="HH19" i="16"/>
  <c r="GT19" i="16"/>
  <c r="GG19" i="16"/>
  <c r="FT19" i="16"/>
  <c r="FF19" i="16"/>
  <c r="ES19" i="16"/>
  <c r="EF19" i="16"/>
  <c r="DR19" i="16"/>
  <c r="DE19" i="16"/>
  <c r="CR19" i="16"/>
  <c r="CD19" i="16"/>
  <c r="BQ19" i="16"/>
  <c r="CE19" i="16" s="1"/>
  <c r="BD19" i="16"/>
  <c r="AP19" i="16"/>
  <c r="AC19" i="16"/>
  <c r="P19" i="16"/>
  <c r="NL18" i="16"/>
  <c r="MX18" i="16"/>
  <c r="MK18" i="16"/>
  <c r="LX18" i="16"/>
  <c r="LJ18" i="16"/>
  <c r="KW18" i="16"/>
  <c r="KJ18" i="16"/>
  <c r="JV18" i="16"/>
  <c r="JI18" i="16"/>
  <c r="IV18" i="16"/>
  <c r="IH18" i="16"/>
  <c r="HU18" i="16"/>
  <c r="HH18" i="16"/>
  <c r="GT18" i="16"/>
  <c r="GG18" i="16"/>
  <c r="FT18" i="16"/>
  <c r="FF18" i="16"/>
  <c r="ES18" i="16"/>
  <c r="EF18" i="16"/>
  <c r="DR18" i="16"/>
  <c r="DE18" i="16"/>
  <c r="CR18" i="16"/>
  <c r="CD18" i="16"/>
  <c r="BQ18" i="16"/>
  <c r="BD18" i="16"/>
  <c r="AP18" i="16"/>
  <c r="AC18" i="16"/>
  <c r="P18" i="16"/>
  <c r="NL17" i="16"/>
  <c r="MX17" i="16"/>
  <c r="MK17" i="16"/>
  <c r="LX17" i="16"/>
  <c r="LJ17" i="16"/>
  <c r="KW17" i="16"/>
  <c r="KJ17" i="16"/>
  <c r="JV17" i="16"/>
  <c r="JI17" i="16"/>
  <c r="IV17" i="16"/>
  <c r="IH17" i="16"/>
  <c r="HU17" i="16"/>
  <c r="HH17" i="16"/>
  <c r="GT17" i="16"/>
  <c r="GG17" i="16"/>
  <c r="FT17" i="16"/>
  <c r="FF17" i="16"/>
  <c r="ES17" i="16"/>
  <c r="EF17" i="16"/>
  <c r="DR17" i="16"/>
  <c r="DE17" i="16"/>
  <c r="CR17" i="16"/>
  <c r="CD17" i="16"/>
  <c r="BQ17" i="16"/>
  <c r="BD17" i="16"/>
  <c r="AP17" i="16"/>
  <c r="AC17" i="16"/>
  <c r="P17" i="16"/>
  <c r="NL16" i="16"/>
  <c r="MX16" i="16"/>
  <c r="MK16" i="16"/>
  <c r="LX16" i="16"/>
  <c r="LJ16" i="16"/>
  <c r="KW16" i="16"/>
  <c r="LK16" i="16" s="1"/>
  <c r="KJ16" i="16"/>
  <c r="JV16" i="16"/>
  <c r="JI16" i="16"/>
  <c r="IV16" i="16"/>
  <c r="IH16" i="16"/>
  <c r="HU16" i="16"/>
  <c r="HH16" i="16"/>
  <c r="GT16" i="16"/>
  <c r="GG16" i="16"/>
  <c r="FT16" i="16"/>
  <c r="FF16" i="16"/>
  <c r="ES16" i="16"/>
  <c r="EF16" i="16"/>
  <c r="DR16" i="16"/>
  <c r="DE16" i="16"/>
  <c r="CR16" i="16"/>
  <c r="CD16" i="16"/>
  <c r="BQ16" i="16"/>
  <c r="CE16" i="16" s="1"/>
  <c r="BD16" i="16"/>
  <c r="AP16" i="16"/>
  <c r="AC16" i="16"/>
  <c r="P16" i="16"/>
  <c r="NL15" i="16"/>
  <c r="MX15" i="16"/>
  <c r="MK15" i="16"/>
  <c r="LX15" i="16"/>
  <c r="LJ15" i="16"/>
  <c r="KW15" i="16"/>
  <c r="KJ15" i="16"/>
  <c r="JV15" i="16"/>
  <c r="JI15" i="16"/>
  <c r="IV15" i="16"/>
  <c r="IH15" i="16"/>
  <c r="HU15" i="16"/>
  <c r="HH15" i="16"/>
  <c r="GT15" i="16"/>
  <c r="GG15" i="16"/>
  <c r="FT15" i="16"/>
  <c r="FF15" i="16"/>
  <c r="ES15" i="16"/>
  <c r="EF15" i="16"/>
  <c r="DR15" i="16"/>
  <c r="DE15" i="16"/>
  <c r="CR15" i="16"/>
  <c r="CD15" i="16"/>
  <c r="BQ15" i="16"/>
  <c r="BD15" i="16"/>
  <c r="AP15" i="16"/>
  <c r="AC15" i="16"/>
  <c r="P15" i="16"/>
  <c r="NL14" i="16"/>
  <c r="MX14" i="16"/>
  <c r="MK14" i="16"/>
  <c r="LX14" i="16"/>
  <c r="LJ14" i="16"/>
  <c r="KW14" i="16"/>
  <c r="KJ14" i="16"/>
  <c r="JV14" i="16"/>
  <c r="JI14" i="16"/>
  <c r="IV14" i="16"/>
  <c r="IH14" i="16"/>
  <c r="HU14" i="16"/>
  <c r="HH14" i="16"/>
  <c r="GT14" i="16"/>
  <c r="GG14" i="16"/>
  <c r="FT14" i="16"/>
  <c r="FF14" i="16"/>
  <c r="ES14" i="16"/>
  <c r="EF14" i="16"/>
  <c r="DR14" i="16"/>
  <c r="DE14" i="16"/>
  <c r="CR14" i="16"/>
  <c r="CD14" i="16"/>
  <c r="BQ14" i="16"/>
  <c r="BD14" i="16"/>
  <c r="AP14" i="16"/>
  <c r="AC14" i="16"/>
  <c r="P14" i="16"/>
  <c r="NL13" i="16"/>
  <c r="MX13" i="16"/>
  <c r="MK13" i="16"/>
  <c r="LX13" i="16"/>
  <c r="LJ13" i="16"/>
  <c r="KW13" i="16"/>
  <c r="LK13" i="16" s="1"/>
  <c r="KJ13" i="16"/>
  <c r="JV13" i="16"/>
  <c r="JI13" i="16"/>
  <c r="IV13" i="16"/>
  <c r="IH13" i="16"/>
  <c r="HU13" i="16"/>
  <c r="HH13" i="16"/>
  <c r="GT13" i="16"/>
  <c r="GG13" i="16"/>
  <c r="FT13" i="16"/>
  <c r="FF13" i="16"/>
  <c r="ES13" i="16"/>
  <c r="EF13" i="16"/>
  <c r="DR13" i="16"/>
  <c r="DE13" i="16"/>
  <c r="CR13" i="16"/>
  <c r="CD13" i="16"/>
  <c r="BQ13" i="16"/>
  <c r="CE13" i="16" s="1"/>
  <c r="BD13" i="16"/>
  <c r="AP13" i="16"/>
  <c r="AC13" i="16"/>
  <c r="P13" i="16"/>
  <c r="NL12" i="16"/>
  <c r="MX12" i="16"/>
  <c r="MK12" i="16"/>
  <c r="LX12" i="16"/>
  <c r="LJ12" i="16"/>
  <c r="KW12" i="16"/>
  <c r="KJ12" i="16"/>
  <c r="JV12" i="16"/>
  <c r="JI12" i="16"/>
  <c r="IV12" i="16"/>
  <c r="IH12" i="16"/>
  <c r="HU12" i="16"/>
  <c r="HH12" i="16"/>
  <c r="GT12" i="16"/>
  <c r="GG12" i="16"/>
  <c r="FT12" i="16"/>
  <c r="FF12" i="16"/>
  <c r="ES12" i="16"/>
  <c r="EF12" i="16"/>
  <c r="DR12" i="16"/>
  <c r="DE12" i="16"/>
  <c r="CR12" i="16"/>
  <c r="CD12" i="16"/>
  <c r="BQ12" i="16"/>
  <c r="BD12" i="16"/>
  <c r="AP12" i="16"/>
  <c r="AC12" i="16"/>
  <c r="P12" i="16"/>
  <c r="NL11" i="16"/>
  <c r="MX11" i="16"/>
  <c r="MK11" i="16"/>
  <c r="LX11" i="16"/>
  <c r="LJ11" i="16"/>
  <c r="KW11" i="16"/>
  <c r="KJ11" i="16"/>
  <c r="JV11" i="16"/>
  <c r="JI11" i="16"/>
  <c r="IV11" i="16"/>
  <c r="IH11" i="16"/>
  <c r="HU11" i="16"/>
  <c r="HH11" i="16"/>
  <c r="GT11" i="16"/>
  <c r="GG11" i="16"/>
  <c r="FT11" i="16"/>
  <c r="FF11" i="16"/>
  <c r="ES11" i="16"/>
  <c r="EF11" i="16"/>
  <c r="DR11" i="16"/>
  <c r="DE11" i="16"/>
  <c r="CR11" i="16"/>
  <c r="CD11" i="16"/>
  <c r="BQ11" i="16"/>
  <c r="BD11" i="16"/>
  <c r="AP11" i="16"/>
  <c r="AC11" i="16"/>
  <c r="P11" i="16"/>
  <c r="NL10" i="16"/>
  <c r="MX10" i="16"/>
  <c r="MK10" i="16"/>
  <c r="LX10" i="16"/>
  <c r="LJ10" i="16"/>
  <c r="KW10" i="16"/>
  <c r="KJ10" i="16"/>
  <c r="JV10" i="16"/>
  <c r="JI10" i="16"/>
  <c r="IV10" i="16"/>
  <c r="IH10" i="16"/>
  <c r="HU10" i="16"/>
  <c r="HH10" i="16"/>
  <c r="GT10" i="16"/>
  <c r="GG10" i="16"/>
  <c r="FT10" i="16"/>
  <c r="FF10" i="16"/>
  <c r="ES10" i="16"/>
  <c r="EF10" i="16"/>
  <c r="DR10" i="16"/>
  <c r="DE10" i="16"/>
  <c r="CR10" i="16"/>
  <c r="CD10" i="16"/>
  <c r="BQ10" i="16"/>
  <c r="CE10" i="16" s="1"/>
  <c r="BD10" i="16"/>
  <c r="AP10" i="16"/>
  <c r="AC10" i="16"/>
  <c r="P10" i="16"/>
  <c r="NL9" i="16"/>
  <c r="MX9" i="16"/>
  <c r="MK9" i="16"/>
  <c r="LX9" i="16"/>
  <c r="LJ9" i="16"/>
  <c r="KW9" i="16"/>
  <c r="KJ9" i="16"/>
  <c r="JV9" i="16"/>
  <c r="JI9" i="16"/>
  <c r="IV9" i="16"/>
  <c r="IH9" i="16"/>
  <c r="HU9" i="16"/>
  <c r="HH9" i="16"/>
  <c r="GT9" i="16"/>
  <c r="GG9" i="16"/>
  <c r="FT9" i="16"/>
  <c r="FF9" i="16"/>
  <c r="ES9" i="16"/>
  <c r="EF9" i="16"/>
  <c r="DR9" i="16"/>
  <c r="DE9" i="16"/>
  <c r="CR9" i="16"/>
  <c r="CD9" i="16"/>
  <c r="BQ9" i="16"/>
  <c r="BD9" i="16"/>
  <c r="AP9" i="16"/>
  <c r="AC9" i="16"/>
  <c r="P9" i="16"/>
  <c r="NL8" i="16"/>
  <c r="MX8" i="16"/>
  <c r="MK8" i="16"/>
  <c r="LX8" i="16"/>
  <c r="LJ8" i="16"/>
  <c r="KW8" i="16"/>
  <c r="KJ8" i="16"/>
  <c r="JV8" i="16"/>
  <c r="JI8" i="16"/>
  <c r="IV8" i="16"/>
  <c r="IH8" i="16"/>
  <c r="HU8" i="16"/>
  <c r="HH8" i="16"/>
  <c r="GT8" i="16"/>
  <c r="GG8" i="16"/>
  <c r="FT8" i="16"/>
  <c r="FF8" i="16"/>
  <c r="ES8" i="16"/>
  <c r="EF8" i="16"/>
  <c r="DR8" i="16"/>
  <c r="DE8" i="16"/>
  <c r="CR8" i="16"/>
  <c r="CD8" i="16"/>
  <c r="BQ8" i="16"/>
  <c r="BD8" i="16"/>
  <c r="AP8" i="16"/>
  <c r="AC8" i="16"/>
  <c r="P8" i="16"/>
  <c r="NL7" i="16"/>
  <c r="MX7" i="16"/>
  <c r="MK7" i="16"/>
  <c r="LX7" i="16"/>
  <c r="LJ7" i="16"/>
  <c r="KW7" i="16"/>
  <c r="LK7" i="16" s="1"/>
  <c r="KJ7" i="16"/>
  <c r="JV7" i="16"/>
  <c r="JI7" i="16"/>
  <c r="IV7" i="16"/>
  <c r="IH7" i="16"/>
  <c r="HU7" i="16"/>
  <c r="HH7" i="16"/>
  <c r="GT7" i="16"/>
  <c r="GG7" i="16"/>
  <c r="FT7" i="16"/>
  <c r="FF7" i="16"/>
  <c r="ES7" i="16"/>
  <c r="EF7" i="16"/>
  <c r="DR7" i="16"/>
  <c r="DE7" i="16"/>
  <c r="CR7" i="16"/>
  <c r="CD7" i="16"/>
  <c r="BQ7" i="16"/>
  <c r="CE7" i="16" s="1"/>
  <c r="BD7" i="16"/>
  <c r="AP7" i="16"/>
  <c r="AC7" i="16"/>
  <c r="P7" i="16"/>
  <c r="NL6" i="16"/>
  <c r="MX6" i="16"/>
  <c r="MK6" i="16"/>
  <c r="LX6" i="16"/>
  <c r="LJ6" i="16"/>
  <c r="KW6" i="16"/>
  <c r="KJ6" i="16"/>
  <c r="JV6" i="16"/>
  <c r="JI6" i="16"/>
  <c r="IV6" i="16"/>
  <c r="IH6" i="16"/>
  <c r="HU6" i="16"/>
  <c r="HH6" i="16"/>
  <c r="GT6" i="16"/>
  <c r="GG6" i="16"/>
  <c r="FT6" i="16"/>
  <c r="FF6" i="16"/>
  <c r="ES6" i="16"/>
  <c r="EF6" i="16"/>
  <c r="DR6" i="16"/>
  <c r="DE6" i="16"/>
  <c r="CR6" i="16"/>
  <c r="CD6" i="16"/>
  <c r="BQ6" i="16"/>
  <c r="BD6" i="16"/>
  <c r="AP6" i="16"/>
  <c r="AC6" i="16"/>
  <c r="P6" i="16"/>
  <c r="CN101" i="10"/>
  <c r="CH143" i="10"/>
  <c r="CF143" i="10"/>
  <c r="CL142" i="10"/>
  <c r="CQ141" i="10"/>
  <c r="CO141" i="10"/>
  <c r="CN140" i="10"/>
  <c r="CL140" i="10"/>
  <c r="CH139" i="10"/>
  <c r="CF139" i="10"/>
  <c r="CH138" i="10"/>
  <c r="CF138" i="10"/>
  <c r="CQ137" i="10"/>
  <c r="CO137" i="10"/>
  <c r="CK136" i="10"/>
  <c r="CI136" i="10"/>
  <c r="CK135" i="10"/>
  <c r="CI135" i="10"/>
  <c r="CH134" i="10"/>
  <c r="CF134" i="10"/>
  <c r="CN133" i="10"/>
  <c r="CL133" i="10"/>
  <c r="CN132" i="10"/>
  <c r="CL132" i="10"/>
  <c r="CN131" i="10"/>
  <c r="CL131" i="10"/>
  <c r="CH130" i="10"/>
  <c r="CF130" i="10"/>
  <c r="CH129" i="10"/>
  <c r="CF129" i="10"/>
  <c r="CH128" i="10"/>
  <c r="CF128" i="10"/>
  <c r="CH127" i="10"/>
  <c r="CF127" i="10"/>
  <c r="CH122" i="10"/>
  <c r="CF122" i="10"/>
  <c r="CF121" i="10"/>
  <c r="CI120" i="10"/>
  <c r="CN114" i="10"/>
  <c r="CL114" i="10"/>
  <c r="CN113" i="10"/>
  <c r="CL113" i="10"/>
  <c r="CL112" i="10"/>
  <c r="CN111" i="10"/>
  <c r="CL111" i="10"/>
  <c r="CN110" i="10"/>
  <c r="CL110" i="10"/>
  <c r="CN109" i="10"/>
  <c r="CL109" i="10"/>
  <c r="CN108" i="10"/>
  <c r="CL108" i="10"/>
  <c r="CN107" i="10"/>
  <c r="CL107" i="10"/>
  <c r="CN106" i="10"/>
  <c r="CL106" i="10"/>
  <c r="CN105" i="10"/>
  <c r="CL105" i="10"/>
  <c r="CN104" i="10"/>
  <c r="CL104" i="10"/>
  <c r="CN103" i="10"/>
  <c r="CL103" i="10"/>
  <c r="CN102" i="10"/>
  <c r="CL102" i="10"/>
  <c r="CL101" i="10"/>
  <c r="CO100" i="10"/>
  <c r="CN99" i="10"/>
  <c r="CL99" i="10"/>
  <c r="CL98" i="10"/>
  <c r="FG36" i="16" l="1"/>
  <c r="II36" i="16"/>
  <c r="LK39" i="16"/>
  <c r="CE6" i="16"/>
  <c r="LK6" i="16"/>
  <c r="CE9" i="16"/>
  <c r="LK9" i="16"/>
  <c r="CE12" i="16"/>
  <c r="LK12" i="16"/>
  <c r="CE15" i="16"/>
  <c r="LK15" i="16"/>
  <c r="CE18" i="16"/>
  <c r="LK18" i="16"/>
  <c r="CE21" i="16"/>
  <c r="LK21" i="16"/>
  <c r="CE24" i="16"/>
  <c r="LK24" i="16"/>
  <c r="AQ28" i="16"/>
  <c r="DS28" i="16"/>
  <c r="GU28" i="16"/>
  <c r="JW28" i="16"/>
  <c r="AQ31" i="16"/>
  <c r="DS31" i="16"/>
  <c r="GU31" i="16"/>
  <c r="JW31" i="16"/>
  <c r="MY31" i="16"/>
  <c r="MY34" i="16"/>
  <c r="DS37" i="16"/>
  <c r="GU37" i="16"/>
  <c r="JW37" i="16"/>
  <c r="MY37" i="16"/>
  <c r="BD40" i="16"/>
  <c r="CD40" i="16"/>
  <c r="CR40" i="16"/>
  <c r="DR40" i="16"/>
  <c r="EF40" i="16"/>
  <c r="FF40" i="16"/>
  <c r="FT40" i="16"/>
  <c r="GT40" i="16"/>
  <c r="HH40" i="16"/>
  <c r="IH40" i="16"/>
  <c r="IV40" i="16"/>
  <c r="JV40" i="16"/>
  <c r="KJ40" i="16"/>
  <c r="LJ40" i="16"/>
  <c r="LX40" i="16"/>
  <c r="MX40" i="16"/>
  <c r="CE38" i="16"/>
  <c r="FG38" i="16"/>
  <c r="NM38" i="16" s="1"/>
  <c r="II38" i="16"/>
  <c r="LK38" i="16"/>
  <c r="CE8" i="16"/>
  <c r="LK8" i="16"/>
  <c r="CE11" i="16"/>
  <c r="LK11" i="16"/>
  <c r="CE14" i="16"/>
  <c r="LK14" i="16"/>
  <c r="CE17" i="16"/>
  <c r="LK17" i="16"/>
  <c r="CE20" i="16"/>
  <c r="LK20" i="16"/>
  <c r="CE23" i="16"/>
  <c r="LK23" i="16"/>
  <c r="CE26" i="16"/>
  <c r="AQ27" i="16"/>
  <c r="DS27" i="16"/>
  <c r="GU27" i="16"/>
  <c r="JW27" i="16"/>
  <c r="AQ30" i="16"/>
  <c r="DS30" i="16"/>
  <c r="GU30" i="16"/>
  <c r="JW30" i="16"/>
  <c r="MY30" i="16"/>
  <c r="AQ33" i="16"/>
  <c r="DS33" i="16"/>
  <c r="GU33" i="16"/>
  <c r="JW33" i="16"/>
  <c r="MY33" i="16"/>
  <c r="AQ36" i="16"/>
  <c r="DS36" i="16"/>
  <c r="GU36" i="16"/>
  <c r="JW36" i="16"/>
  <c r="MY36" i="16"/>
  <c r="AQ39" i="16"/>
  <c r="DS39" i="16"/>
  <c r="GU39" i="16"/>
  <c r="JW39" i="16"/>
  <c r="MY39" i="16"/>
  <c r="CE37" i="16"/>
  <c r="NM37" i="16" s="1"/>
  <c r="FG37" i="16"/>
  <c r="II37" i="16"/>
  <c r="LK37" i="16"/>
  <c r="NL40" i="16"/>
  <c r="AP40" i="16"/>
  <c r="P40" i="16"/>
  <c r="MY26" i="16"/>
  <c r="MY27" i="16"/>
  <c r="MY28" i="16"/>
  <c r="MY32" i="16"/>
  <c r="MY6" i="16"/>
  <c r="MY7" i="16"/>
  <c r="MY8" i="16"/>
  <c r="MY9" i="16"/>
  <c r="MY10" i="16"/>
  <c r="MY11" i="16"/>
  <c r="MY12" i="16"/>
  <c r="MY13" i="16"/>
  <c r="MY14" i="16"/>
  <c r="MY15" i="16"/>
  <c r="MY16" i="16"/>
  <c r="MY17" i="16"/>
  <c r="MY18" i="16"/>
  <c r="MY19" i="16"/>
  <c r="MY20" i="16"/>
  <c r="MY21" i="16"/>
  <c r="MY22" i="16"/>
  <c r="MY23" i="16"/>
  <c r="MY24" i="16"/>
  <c r="MY25" i="16"/>
  <c r="LK10" i="16"/>
  <c r="LK27" i="16"/>
  <c r="LK28" i="16"/>
  <c r="LK29" i="16"/>
  <c r="LK30" i="16"/>
  <c r="LK31" i="16"/>
  <c r="LK32" i="16"/>
  <c r="LK33" i="16"/>
  <c r="LK34" i="16"/>
  <c r="LK35" i="16"/>
  <c r="LK36" i="16"/>
  <c r="JW6" i="16"/>
  <c r="JW7" i="16"/>
  <c r="JW8" i="16"/>
  <c r="JW9" i="16"/>
  <c r="JW10" i="16"/>
  <c r="JW11" i="16"/>
  <c r="JW12" i="16"/>
  <c r="JW13" i="16"/>
  <c r="JW14" i="16"/>
  <c r="JW15" i="16"/>
  <c r="JW16" i="16"/>
  <c r="JW17" i="16"/>
  <c r="JW18" i="16"/>
  <c r="JW19" i="16"/>
  <c r="JW20" i="16"/>
  <c r="JW21" i="16"/>
  <c r="JW22" i="16"/>
  <c r="JW23" i="16"/>
  <c r="JW24" i="16"/>
  <c r="JW25" i="16"/>
  <c r="JW26" i="16"/>
  <c r="II27" i="16"/>
  <c r="II28" i="16"/>
  <c r="II29" i="16"/>
  <c r="II30" i="16"/>
  <c r="II31" i="16"/>
  <c r="II32" i="16"/>
  <c r="II33" i="16"/>
  <c r="II34" i="16"/>
  <c r="II35" i="16"/>
  <c r="II6" i="16"/>
  <c r="II7" i="16"/>
  <c r="II8" i="16"/>
  <c r="II9" i="16"/>
  <c r="II10" i="16"/>
  <c r="II11" i="16"/>
  <c r="II12" i="16"/>
  <c r="II13" i="16"/>
  <c r="II14" i="16"/>
  <c r="II15" i="16"/>
  <c r="II16" i="16"/>
  <c r="II17" i="16"/>
  <c r="II18" i="16"/>
  <c r="II19" i="16"/>
  <c r="II20" i="16"/>
  <c r="II21" i="16"/>
  <c r="II22" i="16"/>
  <c r="II23" i="16"/>
  <c r="II24" i="16"/>
  <c r="II25" i="16"/>
  <c r="II26" i="16"/>
  <c r="GU6" i="16"/>
  <c r="GU7" i="16"/>
  <c r="GU8" i="16"/>
  <c r="GU9" i="16"/>
  <c r="GU10" i="16"/>
  <c r="GU11" i="16"/>
  <c r="GU12" i="16"/>
  <c r="GU13" i="16"/>
  <c r="GU14" i="16"/>
  <c r="GU15" i="16"/>
  <c r="GU16" i="16"/>
  <c r="GU17" i="16"/>
  <c r="GU18" i="16"/>
  <c r="GU19" i="16"/>
  <c r="GU20" i="16"/>
  <c r="GU21" i="16"/>
  <c r="GU22" i="16"/>
  <c r="GU23" i="16"/>
  <c r="GU24" i="16"/>
  <c r="GU25" i="16"/>
  <c r="GU26" i="16"/>
  <c r="FG27" i="16"/>
  <c r="FG28" i="16"/>
  <c r="FG29" i="16"/>
  <c r="FG30" i="16"/>
  <c r="FG31" i="16"/>
  <c r="FG32" i="16"/>
  <c r="FG33" i="16"/>
  <c r="FG34" i="16"/>
  <c r="FG35" i="16"/>
  <c r="FG6" i="16"/>
  <c r="FG7" i="16"/>
  <c r="FG8" i="16"/>
  <c r="FG9" i="16"/>
  <c r="FG10" i="16"/>
  <c r="FG11" i="16"/>
  <c r="FG12" i="16"/>
  <c r="FG13" i="16"/>
  <c r="FG14" i="16"/>
  <c r="FG15" i="16"/>
  <c r="FG16" i="16"/>
  <c r="FG17" i="16"/>
  <c r="FG18" i="16"/>
  <c r="FG19" i="16"/>
  <c r="FG20" i="16"/>
  <c r="FG21" i="16"/>
  <c r="FG22" i="16"/>
  <c r="FG23" i="16"/>
  <c r="FG24" i="16"/>
  <c r="FG25" i="16"/>
  <c r="FG26" i="16"/>
  <c r="DS6" i="16"/>
  <c r="DS7" i="16"/>
  <c r="DS8" i="16"/>
  <c r="DS9" i="16"/>
  <c r="DS10" i="16"/>
  <c r="DS11" i="16"/>
  <c r="DS12" i="16"/>
  <c r="DS13" i="16"/>
  <c r="DS14" i="16"/>
  <c r="DS15" i="16"/>
  <c r="DS16" i="16"/>
  <c r="DS17" i="16"/>
  <c r="DS18" i="16"/>
  <c r="DS19" i="16"/>
  <c r="DS20" i="16"/>
  <c r="DS21" i="16"/>
  <c r="DS22" i="16"/>
  <c r="DS23" i="16"/>
  <c r="DS24" i="16"/>
  <c r="DS25" i="16"/>
  <c r="DS26" i="16"/>
  <c r="CE27" i="16"/>
  <c r="CE28" i="16"/>
  <c r="CE29" i="16"/>
  <c r="NM29" i="16" s="1"/>
  <c r="CE30" i="16"/>
  <c r="CE31" i="16"/>
  <c r="NM31" i="16" s="1"/>
  <c r="CE32" i="16"/>
  <c r="CE33" i="16"/>
  <c r="CE34" i="16"/>
  <c r="CE35" i="16"/>
  <c r="NM35" i="16" s="1"/>
  <c r="CE36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6" i="16"/>
  <c r="AQ7" i="16"/>
  <c r="AQ8" i="16"/>
  <c r="AQ9" i="16"/>
  <c r="AQ10" i="16"/>
  <c r="JW40" i="16"/>
  <c r="LK26" i="16"/>
  <c r="AC40" i="16"/>
  <c r="BQ40" i="16"/>
  <c r="CE40" i="16" s="1"/>
  <c r="DE40" i="16"/>
  <c r="ES40" i="16"/>
  <c r="GG40" i="16"/>
  <c r="GU40" i="16" s="1"/>
  <c r="HU40" i="16"/>
  <c r="JI40" i="16"/>
  <c r="KW40" i="16"/>
  <c r="LK40" i="16" s="1"/>
  <c r="MK40" i="16"/>
  <c r="CI94" i="10"/>
  <c r="CK93" i="10"/>
  <c r="CI93" i="10"/>
  <c r="CK88" i="10"/>
  <c r="CI88" i="10"/>
  <c r="CK87" i="10"/>
  <c r="CI87" i="10"/>
  <c r="CK85" i="10"/>
  <c r="CI85" i="10"/>
  <c r="CK84" i="10"/>
  <c r="CI84" i="10"/>
  <c r="CI83" i="10"/>
  <c r="CK83" i="10"/>
  <c r="CK82" i="10"/>
  <c r="CI82" i="10"/>
  <c r="CK81" i="10"/>
  <c r="CI81" i="10"/>
  <c r="CK80" i="10"/>
  <c r="CI80" i="10"/>
  <c r="CK79" i="10"/>
  <c r="CI79" i="10"/>
  <c r="CK78" i="10"/>
  <c r="CI78" i="10"/>
  <c r="CK77" i="10"/>
  <c r="CI77" i="10"/>
  <c r="CK76" i="10"/>
  <c r="CI76" i="10"/>
  <c r="CK75" i="10"/>
  <c r="CI75" i="10"/>
  <c r="CK74" i="10"/>
  <c r="CI74" i="10"/>
  <c r="CK73" i="10"/>
  <c r="CI73" i="10"/>
  <c r="CK72" i="10"/>
  <c r="CI72" i="10"/>
  <c r="CK71" i="10"/>
  <c r="CI71" i="10"/>
  <c r="CF64" i="10"/>
  <c r="CK63" i="10"/>
  <c r="CI63" i="10"/>
  <c r="CF62" i="10"/>
  <c r="CH61" i="10"/>
  <c r="CF61" i="10"/>
  <c r="CH60" i="10"/>
  <c r="CF60" i="10"/>
  <c r="CH59" i="10"/>
  <c r="CF59" i="10"/>
  <c r="CF58" i="10"/>
  <c r="CH57" i="10"/>
  <c r="CF57" i="10"/>
  <c r="CH56" i="10"/>
  <c r="CF56" i="10"/>
  <c r="CF55" i="10"/>
  <c r="CH55" i="10"/>
  <c r="CH54" i="10"/>
  <c r="CF54" i="10"/>
  <c r="CH53" i="10"/>
  <c r="CF53" i="10"/>
  <c r="CH52" i="10"/>
  <c r="CF52" i="10"/>
  <c r="CI51" i="10"/>
  <c r="CH50" i="10"/>
  <c r="CF50" i="10"/>
  <c r="CK49" i="10"/>
  <c r="CI49" i="10"/>
  <c r="CF46" i="10"/>
  <c r="CH46" i="10"/>
  <c r="CH45" i="10"/>
  <c r="CF45" i="10"/>
  <c r="CF44" i="10"/>
  <c r="CF42" i="10"/>
  <c r="CK41" i="10"/>
  <c r="CI41" i="10"/>
  <c r="CK40" i="10"/>
  <c r="CI40" i="10"/>
  <c r="CK39" i="10"/>
  <c r="CI39" i="10"/>
  <c r="CH38" i="10"/>
  <c r="CF38" i="10"/>
  <c r="CH37" i="10"/>
  <c r="CF37" i="10"/>
  <c r="CF36" i="10"/>
  <c r="CF35" i="10"/>
  <c r="CH35" i="10"/>
  <c r="CH34" i="10"/>
  <c r="CF34" i="10"/>
  <c r="CH33" i="10"/>
  <c r="CF33" i="10"/>
  <c r="CF32" i="10"/>
  <c r="CH32" i="10"/>
  <c r="CH31" i="10"/>
  <c r="CF31" i="10"/>
  <c r="CF30" i="10"/>
  <c r="CH30" i="10"/>
  <c r="CH29" i="10"/>
  <c r="CF29" i="10"/>
  <c r="CH28" i="10"/>
  <c r="CF28" i="10"/>
  <c r="CF27" i="10"/>
  <c r="CN19" i="10"/>
  <c r="CL19" i="10"/>
  <c r="CL18" i="10"/>
  <c r="CQ17" i="10"/>
  <c r="CO17" i="10"/>
  <c r="CL16" i="10"/>
  <c r="CQ15" i="10"/>
  <c r="CO15" i="10"/>
  <c r="CL14" i="10"/>
  <c r="CN13" i="10"/>
  <c r="CL13" i="10"/>
  <c r="CL12" i="10"/>
  <c r="CL11" i="10"/>
  <c r="CN11" i="10"/>
  <c r="CN10" i="10"/>
  <c r="CL10" i="10"/>
  <c r="CQ9" i="10"/>
  <c r="CO9" i="10"/>
  <c r="CQ8" i="10"/>
  <c r="CO8" i="10"/>
  <c r="CN7" i="10"/>
  <c r="CL7" i="10"/>
  <c r="CN6" i="10"/>
  <c r="CL6" i="10"/>
  <c r="BK205" i="10"/>
  <c r="AS123" i="10"/>
  <c r="AR123" i="10"/>
  <c r="BD123" i="10" s="1"/>
  <c r="FF123" i="10"/>
  <c r="ES123" i="10"/>
  <c r="EF123" i="10"/>
  <c r="DR123" i="10"/>
  <c r="DE123" i="10"/>
  <c r="CR123" i="10"/>
  <c r="CD123" i="10"/>
  <c r="BQ123" i="10"/>
  <c r="AP123" i="10"/>
  <c r="AC123" i="10"/>
  <c r="AQ123" i="10" s="1"/>
  <c r="P123" i="10"/>
  <c r="AZ101" i="10"/>
  <c r="BQ65" i="10"/>
  <c r="AS67" i="10"/>
  <c r="AR67" i="10"/>
  <c r="BD67" i="10" s="1"/>
  <c r="AS66" i="10"/>
  <c r="AR66" i="10"/>
  <c r="AP65" i="10"/>
  <c r="BD64" i="10"/>
  <c r="BB69" i="10"/>
  <c r="FF67" i="10"/>
  <c r="ES67" i="10"/>
  <c r="EF67" i="10"/>
  <c r="DR67" i="10"/>
  <c r="DE67" i="10"/>
  <c r="CR67" i="10"/>
  <c r="CD67" i="10"/>
  <c r="BQ67" i="10"/>
  <c r="AP67" i="10"/>
  <c r="AC67" i="10"/>
  <c r="P67" i="10"/>
  <c r="FF66" i="10"/>
  <c r="ES66" i="10"/>
  <c r="EF66" i="10"/>
  <c r="DR66" i="10"/>
  <c r="DE66" i="10"/>
  <c r="CR66" i="10"/>
  <c r="CD66" i="10"/>
  <c r="BQ66" i="10"/>
  <c r="BD66" i="10"/>
  <c r="AP66" i="10"/>
  <c r="AC66" i="10"/>
  <c r="P66" i="10"/>
  <c r="BD23" i="10"/>
  <c r="O25" i="10"/>
  <c r="FF23" i="10"/>
  <c r="ES23" i="10"/>
  <c r="EF23" i="10"/>
  <c r="FG23" i="10" s="1"/>
  <c r="DR23" i="10"/>
  <c r="DE23" i="10"/>
  <c r="CR23" i="10"/>
  <c r="CD23" i="10"/>
  <c r="BQ23" i="10"/>
  <c r="AP23" i="10"/>
  <c r="AC23" i="10"/>
  <c r="P23" i="10"/>
  <c r="AQ23" i="10" s="1"/>
  <c r="NL6" i="8"/>
  <c r="OM6" i="8" s="1"/>
  <c r="NK40" i="8"/>
  <c r="NJ40" i="8"/>
  <c r="NI40" i="8"/>
  <c r="NH40" i="8"/>
  <c r="NG40" i="8"/>
  <c r="NF40" i="8"/>
  <c r="NE40" i="8"/>
  <c r="ND40" i="8"/>
  <c r="NC40" i="8"/>
  <c r="NL39" i="8"/>
  <c r="OM39" i="8" s="1"/>
  <c r="NL38" i="8"/>
  <c r="OM38" i="8" s="1"/>
  <c r="NL37" i="8"/>
  <c r="OM37" i="8" s="1"/>
  <c r="NL36" i="8"/>
  <c r="OM36" i="8" s="1"/>
  <c r="NL35" i="8"/>
  <c r="OM35" i="8" s="1"/>
  <c r="NL34" i="8"/>
  <c r="OM34" i="8" s="1"/>
  <c r="NL33" i="8"/>
  <c r="OM33" i="8" s="1"/>
  <c r="NL32" i="8"/>
  <c r="OM32" i="8" s="1"/>
  <c r="NB40" i="8"/>
  <c r="NA40" i="8"/>
  <c r="MZ40" i="8"/>
  <c r="NL30" i="8"/>
  <c r="OM30" i="8" s="1"/>
  <c r="NL29" i="8"/>
  <c r="OM29" i="8" s="1"/>
  <c r="NL28" i="8"/>
  <c r="OM28" i="8" s="1"/>
  <c r="NL27" i="8"/>
  <c r="OM27" i="8" s="1"/>
  <c r="NL26" i="8"/>
  <c r="OM26" i="8" s="1"/>
  <c r="NL25" i="8"/>
  <c r="OM25" i="8" s="1"/>
  <c r="NL24" i="8"/>
  <c r="OM24" i="8" s="1"/>
  <c r="NL23" i="8"/>
  <c r="OM23" i="8" s="1"/>
  <c r="NL22" i="8"/>
  <c r="OM22" i="8" s="1"/>
  <c r="NL21" i="8"/>
  <c r="OM21" i="8" s="1"/>
  <c r="NL20" i="8"/>
  <c r="OM20" i="8" s="1"/>
  <c r="NL19" i="8"/>
  <c r="OM19" i="8" s="1"/>
  <c r="NL18" i="8"/>
  <c r="OM18" i="8" s="1"/>
  <c r="NL17" i="8"/>
  <c r="OM17" i="8" s="1"/>
  <c r="NL16" i="8"/>
  <c r="OM16" i="8" s="1"/>
  <c r="NL15" i="8"/>
  <c r="OM15" i="8" s="1"/>
  <c r="NL14" i="8"/>
  <c r="OM14" i="8" s="1"/>
  <c r="NL13" i="8"/>
  <c r="OM13" i="8" s="1"/>
  <c r="NL12" i="8"/>
  <c r="OM12" i="8" s="1"/>
  <c r="NL11" i="8"/>
  <c r="OM11" i="8" s="1"/>
  <c r="NL10" i="8"/>
  <c r="OM10" i="8" s="1"/>
  <c r="NL9" i="8"/>
  <c r="OM9" i="8" s="1"/>
  <c r="NL8" i="8"/>
  <c r="OM8" i="8" s="1"/>
  <c r="NL7" i="8"/>
  <c r="OM7" i="8" s="1"/>
  <c r="HH7" i="4"/>
  <c r="AR69" i="10" l="1"/>
  <c r="FG40" i="16"/>
  <c r="MY40" i="16"/>
  <c r="DS40" i="16"/>
  <c r="NM40" i="16" s="1"/>
  <c r="NM33" i="16"/>
  <c r="DS23" i="10"/>
  <c r="NM39" i="16"/>
  <c r="II40" i="16"/>
  <c r="CE66" i="10"/>
  <c r="DS67" i="10"/>
  <c r="FG123" i="10"/>
  <c r="FG66" i="10"/>
  <c r="NL40" i="8"/>
  <c r="AQ40" i="16"/>
  <c r="NM27" i="16"/>
  <c r="NM36" i="16"/>
  <c r="NM25" i="16"/>
  <c r="NM21" i="16"/>
  <c r="NM8" i="16"/>
  <c r="NM17" i="16"/>
  <c r="NM15" i="16"/>
  <c r="NM13" i="16"/>
  <c r="NM11" i="16"/>
  <c r="NM23" i="16"/>
  <c r="NM19" i="16"/>
  <c r="NM24" i="16"/>
  <c r="NM22" i="16"/>
  <c r="NM20" i="16"/>
  <c r="NM18" i="16"/>
  <c r="NM16" i="16"/>
  <c r="NM14" i="16"/>
  <c r="NM12" i="16"/>
  <c r="NM34" i="16"/>
  <c r="NM32" i="16"/>
  <c r="NM30" i="16"/>
  <c r="NM28" i="16"/>
  <c r="NM9" i="16"/>
  <c r="NM7" i="16"/>
  <c r="NM10" i="16"/>
  <c r="NM6" i="16"/>
  <c r="NM26" i="16"/>
  <c r="DS123" i="10"/>
  <c r="CE123" i="10"/>
  <c r="AQ66" i="10"/>
  <c r="DS66" i="10"/>
  <c r="FG67" i="10"/>
  <c r="CE67" i="10"/>
  <c r="AQ67" i="10"/>
  <c r="CE23" i="10"/>
  <c r="FH23" i="10" s="1"/>
  <c r="NL31" i="8"/>
  <c r="OM31" i="8" s="1"/>
  <c r="P89" i="10"/>
  <c r="P88" i="10"/>
  <c r="P64" i="10"/>
  <c r="FH123" i="10" l="1"/>
  <c r="FH66" i="10"/>
  <c r="FH67" i="10"/>
  <c r="W6" i="15"/>
  <c r="FM23" i="15" l="1"/>
  <c r="EZ23" i="15"/>
  <c r="EM23" i="15"/>
  <c r="DY23" i="15"/>
  <c r="DL23" i="15"/>
  <c r="CY23" i="15"/>
  <c r="CK23" i="15"/>
  <c r="BX23" i="15"/>
  <c r="BK23" i="15"/>
  <c r="AW23" i="15"/>
  <c r="AJ23" i="15"/>
  <c r="W23" i="15"/>
  <c r="CL23" i="15" l="1"/>
  <c r="FN23" i="15"/>
  <c r="DZ23" i="15"/>
  <c r="AX23" i="15"/>
  <c r="AY68" i="15"/>
  <c r="FM150" i="15"/>
  <c r="EZ150" i="15"/>
  <c r="EM150" i="15"/>
  <c r="DY150" i="15"/>
  <c r="DL150" i="15"/>
  <c r="CY150" i="15"/>
  <c r="CK150" i="15"/>
  <c r="BX150" i="15"/>
  <c r="BK150" i="15"/>
  <c r="AW150" i="15"/>
  <c r="AJ150" i="15"/>
  <c r="W150" i="15"/>
  <c r="FM149" i="15"/>
  <c r="EZ149" i="15"/>
  <c r="EM149" i="15"/>
  <c r="DY149" i="15"/>
  <c r="DL149" i="15"/>
  <c r="CY149" i="15"/>
  <c r="CK149" i="15"/>
  <c r="BX149" i="15"/>
  <c r="BK149" i="15"/>
  <c r="AW149" i="15"/>
  <c r="AJ149" i="15"/>
  <c r="W149" i="15"/>
  <c r="FM148" i="15"/>
  <c r="EZ148" i="15"/>
  <c r="EM148" i="15"/>
  <c r="DY148" i="15"/>
  <c r="DL148" i="15"/>
  <c r="CY148" i="15"/>
  <c r="CK148" i="15"/>
  <c r="BX148" i="15"/>
  <c r="BK148" i="15"/>
  <c r="AW148" i="15"/>
  <c r="AJ148" i="15"/>
  <c r="W148" i="15"/>
  <c r="FM127" i="15"/>
  <c r="EZ127" i="15"/>
  <c r="EM127" i="15"/>
  <c r="DY127" i="15"/>
  <c r="DL127" i="15"/>
  <c r="CY127" i="15"/>
  <c r="CK127" i="15"/>
  <c r="BX127" i="15"/>
  <c r="BK127" i="15"/>
  <c r="AW127" i="15"/>
  <c r="AJ127" i="15"/>
  <c r="W127" i="15"/>
  <c r="FM90" i="15"/>
  <c r="EZ90" i="15"/>
  <c r="EM90" i="15"/>
  <c r="DY90" i="15"/>
  <c r="DL90" i="15"/>
  <c r="CY90" i="15"/>
  <c r="CK90" i="15"/>
  <c r="BX90" i="15"/>
  <c r="BK90" i="15"/>
  <c r="AW90" i="15"/>
  <c r="AJ90" i="15"/>
  <c r="W90" i="15"/>
  <c r="BK65" i="15"/>
  <c r="AJ65" i="15"/>
  <c r="W65" i="15"/>
  <c r="FM70" i="15"/>
  <c r="EZ70" i="15"/>
  <c r="EM70" i="15"/>
  <c r="DY70" i="15"/>
  <c r="DL70" i="15"/>
  <c r="CY70" i="15"/>
  <c r="CK70" i="15"/>
  <c r="BX70" i="15"/>
  <c r="BK70" i="15"/>
  <c r="AW70" i="15"/>
  <c r="AJ70" i="15"/>
  <c r="W70" i="15"/>
  <c r="FM69" i="15"/>
  <c r="EZ69" i="15"/>
  <c r="EM69" i="15"/>
  <c r="DY69" i="15"/>
  <c r="DL69" i="15"/>
  <c r="CY69" i="15"/>
  <c r="CK69" i="15"/>
  <c r="BX69" i="15"/>
  <c r="BK69" i="15"/>
  <c r="AW69" i="15"/>
  <c r="AJ69" i="15"/>
  <c r="W69" i="15"/>
  <c r="FM68" i="15"/>
  <c r="EZ68" i="15"/>
  <c r="EM68" i="15"/>
  <c r="DY68" i="15"/>
  <c r="DL68" i="15"/>
  <c r="CY68" i="15"/>
  <c r="CK68" i="15"/>
  <c r="BX68" i="15"/>
  <c r="BK68" i="15"/>
  <c r="AW68" i="15"/>
  <c r="AJ68" i="15"/>
  <c r="W68" i="15"/>
  <c r="FM67" i="15"/>
  <c r="EZ67" i="15"/>
  <c r="EM67" i="15"/>
  <c r="DY67" i="15"/>
  <c r="DL67" i="15"/>
  <c r="CY67" i="15"/>
  <c r="CK67" i="15"/>
  <c r="BX67" i="15"/>
  <c r="BK67" i="15"/>
  <c r="AW67" i="15"/>
  <c r="AJ67" i="15"/>
  <c r="W67" i="15"/>
  <c r="FM66" i="15"/>
  <c r="EZ66" i="15"/>
  <c r="EM66" i="15"/>
  <c r="DY66" i="15"/>
  <c r="DL66" i="15"/>
  <c r="CY66" i="15"/>
  <c r="CK66" i="15"/>
  <c r="BX66" i="15"/>
  <c r="BK66" i="15"/>
  <c r="AW66" i="15"/>
  <c r="AJ66" i="15"/>
  <c r="W66" i="15"/>
  <c r="FN127" i="15" l="1"/>
  <c r="FN149" i="15"/>
  <c r="DZ150" i="15"/>
  <c r="DZ90" i="15"/>
  <c r="FO23" i="15"/>
  <c r="AX148" i="15"/>
  <c r="AX90" i="15"/>
  <c r="AX150" i="15"/>
  <c r="DZ148" i="15"/>
  <c r="FN90" i="15"/>
  <c r="AX127" i="15"/>
  <c r="DZ127" i="15"/>
  <c r="FN148" i="15"/>
  <c r="AX149" i="15"/>
  <c r="DZ149" i="15"/>
  <c r="CL150" i="15"/>
  <c r="FN150" i="15"/>
  <c r="CL149" i="15"/>
  <c r="CL148" i="15"/>
  <c r="FN66" i="15"/>
  <c r="FN67" i="15"/>
  <c r="FN68" i="15"/>
  <c r="FN69" i="15"/>
  <c r="FN70" i="15"/>
  <c r="CL127" i="15"/>
  <c r="CL90" i="15"/>
  <c r="AX66" i="15"/>
  <c r="DZ66" i="15"/>
  <c r="AX67" i="15"/>
  <c r="DZ67" i="15"/>
  <c r="AX68" i="15"/>
  <c r="DZ68" i="15"/>
  <c r="AX69" i="15"/>
  <c r="DZ69" i="15"/>
  <c r="AX70" i="15"/>
  <c r="DZ70" i="15"/>
  <c r="CL66" i="15"/>
  <c r="CL67" i="15"/>
  <c r="CL68" i="15"/>
  <c r="CL70" i="15"/>
  <c r="CL69" i="15"/>
  <c r="I205" i="15"/>
  <c r="J205" i="15" s="1"/>
  <c r="I221" i="15"/>
  <c r="H228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4" i="15"/>
  <c r="AW219" i="15"/>
  <c r="CJ224" i="15"/>
  <c r="CI224" i="15"/>
  <c r="CH224" i="15"/>
  <c r="CG224" i="15"/>
  <c r="CF224" i="15"/>
  <c r="CE224" i="15"/>
  <c r="CD224" i="15"/>
  <c r="CC224" i="15"/>
  <c r="CB224" i="15"/>
  <c r="CA224" i="15"/>
  <c r="BZ224" i="15"/>
  <c r="BY224" i="15"/>
  <c r="CJ202" i="15"/>
  <c r="CI202" i="15"/>
  <c r="CI245" i="15" s="1"/>
  <c r="CH202" i="15"/>
  <c r="CG202" i="15"/>
  <c r="CF202" i="15"/>
  <c r="CE202" i="15"/>
  <c r="CD202" i="15"/>
  <c r="CC202" i="15"/>
  <c r="CB202" i="15"/>
  <c r="CA202" i="15"/>
  <c r="BZ202" i="15"/>
  <c r="BY202" i="15"/>
  <c r="BW224" i="15"/>
  <c r="BV224" i="15"/>
  <c r="BU224" i="15"/>
  <c r="BT224" i="15"/>
  <c r="BS224" i="15"/>
  <c r="BR224" i="15"/>
  <c r="BQ224" i="15"/>
  <c r="BP224" i="15"/>
  <c r="BO224" i="15"/>
  <c r="BN224" i="15"/>
  <c r="BM224" i="15"/>
  <c r="BL224" i="15"/>
  <c r="BW202" i="15"/>
  <c r="BV202" i="15"/>
  <c r="BU202" i="15"/>
  <c r="BT202" i="15"/>
  <c r="BS202" i="15"/>
  <c r="BR202" i="15"/>
  <c r="BQ202" i="15"/>
  <c r="BP202" i="15"/>
  <c r="BO202" i="15"/>
  <c r="BN202" i="15"/>
  <c r="BM202" i="15"/>
  <c r="BL202" i="15"/>
  <c r="FL244" i="15"/>
  <c r="FK244" i="15"/>
  <c r="FJ244" i="15"/>
  <c r="FI244" i="15"/>
  <c r="FH244" i="15"/>
  <c r="FG244" i="15"/>
  <c r="FF244" i="15"/>
  <c r="FE244" i="15"/>
  <c r="FD244" i="15"/>
  <c r="FC244" i="15"/>
  <c r="FB244" i="15"/>
  <c r="FA244" i="15"/>
  <c r="EY244" i="15"/>
  <c r="EX244" i="15"/>
  <c r="EW244" i="15"/>
  <c r="EV244" i="15"/>
  <c r="EU244" i="15"/>
  <c r="ET244" i="15"/>
  <c r="ES244" i="15"/>
  <c r="ER244" i="15"/>
  <c r="EQ244" i="15"/>
  <c r="EP244" i="15"/>
  <c r="EO244" i="15"/>
  <c r="EN244" i="15"/>
  <c r="EL244" i="15"/>
  <c r="EK244" i="15"/>
  <c r="EJ244" i="15"/>
  <c r="EI244" i="15"/>
  <c r="EH244" i="15"/>
  <c r="EG244" i="15"/>
  <c r="EF244" i="15"/>
  <c r="EE244" i="15"/>
  <c r="ED244" i="15"/>
  <c r="EC244" i="15"/>
  <c r="EB244" i="15"/>
  <c r="EA244" i="15"/>
  <c r="DX244" i="15"/>
  <c r="DW244" i="15"/>
  <c r="DV244" i="15"/>
  <c r="DU244" i="15"/>
  <c r="DT244" i="15"/>
  <c r="DS244" i="15"/>
  <c r="DR244" i="15"/>
  <c r="DQ244" i="15"/>
  <c r="DP244" i="15"/>
  <c r="DO244" i="15"/>
  <c r="DN244" i="15"/>
  <c r="DM244" i="15"/>
  <c r="DK244" i="15"/>
  <c r="DJ244" i="15"/>
  <c r="DI244" i="15"/>
  <c r="DH244" i="15"/>
  <c r="DG244" i="15"/>
  <c r="DF244" i="15"/>
  <c r="DE244" i="15"/>
  <c r="DD244" i="15"/>
  <c r="DC244" i="15"/>
  <c r="DB244" i="15"/>
  <c r="DA244" i="15"/>
  <c r="CZ244" i="15"/>
  <c r="CX244" i="15"/>
  <c r="CW244" i="15"/>
  <c r="CV244" i="15"/>
  <c r="CU244" i="15"/>
  <c r="CT244" i="15"/>
  <c r="CS244" i="15"/>
  <c r="CR244" i="15"/>
  <c r="CQ244" i="15"/>
  <c r="CP244" i="15"/>
  <c r="CO244" i="15"/>
  <c r="CN244" i="15"/>
  <c r="CM244" i="15"/>
  <c r="CJ244" i="15"/>
  <c r="CI244" i="15"/>
  <c r="CH244" i="15"/>
  <c r="CG244" i="15"/>
  <c r="CF244" i="15"/>
  <c r="CE244" i="15"/>
  <c r="CD244" i="15"/>
  <c r="CC244" i="15"/>
  <c r="CB244" i="15"/>
  <c r="CA244" i="15"/>
  <c r="BZ244" i="15"/>
  <c r="BY244" i="15"/>
  <c r="BY245" i="15" s="1"/>
  <c r="BW244" i="15"/>
  <c r="BV244" i="15"/>
  <c r="BU244" i="15"/>
  <c r="BT244" i="15"/>
  <c r="BS244" i="15"/>
  <c r="BR244" i="15"/>
  <c r="BQ244" i="15"/>
  <c r="BP244" i="15"/>
  <c r="BO244" i="15"/>
  <c r="BN244" i="15"/>
  <c r="BM244" i="15"/>
  <c r="BM245" i="15" s="1"/>
  <c r="BL244" i="15"/>
  <c r="BJ244" i="15"/>
  <c r="BI244" i="15"/>
  <c r="BH244" i="15"/>
  <c r="BG244" i="15"/>
  <c r="BF244" i="15"/>
  <c r="BE244" i="15"/>
  <c r="BD244" i="15"/>
  <c r="BC244" i="15"/>
  <c r="BB244" i="15"/>
  <c r="BA244" i="15"/>
  <c r="AZ244" i="15"/>
  <c r="AY244" i="15"/>
  <c r="AV244" i="15"/>
  <c r="AU244" i="15"/>
  <c r="AT244" i="15"/>
  <c r="AS244" i="15"/>
  <c r="AR244" i="15"/>
  <c r="AQ244" i="15"/>
  <c r="AP244" i="15"/>
  <c r="AO244" i="15"/>
  <c r="AN244" i="15"/>
  <c r="AM244" i="15"/>
  <c r="AL244" i="15"/>
  <c r="AK244" i="15"/>
  <c r="AI244" i="15"/>
  <c r="AH244" i="15"/>
  <c r="AG244" i="15"/>
  <c r="AF244" i="15"/>
  <c r="AE244" i="15"/>
  <c r="AD244" i="15"/>
  <c r="AC244" i="15"/>
  <c r="AB244" i="15"/>
  <c r="AA244" i="15"/>
  <c r="Z244" i="15"/>
  <c r="Y244" i="15"/>
  <c r="X244" i="15"/>
  <c r="V244" i="15"/>
  <c r="U244" i="15"/>
  <c r="T244" i="15"/>
  <c r="S244" i="15"/>
  <c r="R244" i="15"/>
  <c r="Q244" i="15"/>
  <c r="P244" i="15"/>
  <c r="O244" i="15"/>
  <c r="N244" i="15"/>
  <c r="M244" i="15"/>
  <c r="L244" i="15"/>
  <c r="K244" i="15"/>
  <c r="FM243" i="15"/>
  <c r="EZ243" i="15"/>
  <c r="EM243" i="15"/>
  <c r="DY243" i="15"/>
  <c r="DL243" i="15"/>
  <c r="CY243" i="15"/>
  <c r="CK243" i="15"/>
  <c r="BX243" i="15"/>
  <c r="BK243" i="15"/>
  <c r="AW243" i="15"/>
  <c r="AJ243" i="15"/>
  <c r="W243" i="15"/>
  <c r="FM242" i="15"/>
  <c r="EZ242" i="15"/>
  <c r="EM242" i="15"/>
  <c r="DY242" i="15"/>
  <c r="DL242" i="15"/>
  <c r="CY242" i="15"/>
  <c r="CK242" i="15"/>
  <c r="BX242" i="15"/>
  <c r="BK242" i="15"/>
  <c r="AW242" i="15"/>
  <c r="AJ242" i="15"/>
  <c r="W242" i="15"/>
  <c r="FM241" i="15"/>
  <c r="EZ241" i="15"/>
  <c r="EM241" i="15"/>
  <c r="DY241" i="15"/>
  <c r="DL241" i="15"/>
  <c r="CY241" i="15"/>
  <c r="CK241" i="15"/>
  <c r="BX241" i="15"/>
  <c r="BK241" i="15"/>
  <c r="AW241" i="15"/>
  <c r="AJ241" i="15"/>
  <c r="W241" i="15"/>
  <c r="FM240" i="15"/>
  <c r="EZ240" i="15"/>
  <c r="EM240" i="15"/>
  <c r="DY240" i="15"/>
  <c r="DL240" i="15"/>
  <c r="CY240" i="15"/>
  <c r="CK240" i="15"/>
  <c r="BX240" i="15"/>
  <c r="BK240" i="15"/>
  <c r="AW240" i="15"/>
  <c r="AJ240" i="15"/>
  <c r="W240" i="15"/>
  <c r="FM239" i="15"/>
  <c r="EZ239" i="15"/>
  <c r="EM239" i="15"/>
  <c r="DY239" i="15"/>
  <c r="DL239" i="15"/>
  <c r="CY239" i="15"/>
  <c r="CK239" i="15"/>
  <c r="BX239" i="15"/>
  <c r="BK239" i="15"/>
  <c r="AW239" i="15"/>
  <c r="AJ239" i="15"/>
  <c r="W239" i="15"/>
  <c r="FM238" i="15"/>
  <c r="EZ238" i="15"/>
  <c r="EM238" i="15"/>
  <c r="DY238" i="15"/>
  <c r="DL238" i="15"/>
  <c r="CY238" i="15"/>
  <c r="CK238" i="15"/>
  <c r="BX238" i="15"/>
  <c r="BK238" i="15"/>
  <c r="AW238" i="15"/>
  <c r="AJ238" i="15"/>
  <c r="W238" i="15"/>
  <c r="FM237" i="15"/>
  <c r="EZ237" i="15"/>
  <c r="EM237" i="15"/>
  <c r="DY237" i="15"/>
  <c r="DL237" i="15"/>
  <c r="CY237" i="15"/>
  <c r="CK237" i="15"/>
  <c r="BX237" i="15"/>
  <c r="BK237" i="15"/>
  <c r="AW237" i="15"/>
  <c r="AJ237" i="15"/>
  <c r="W237" i="15"/>
  <c r="FM236" i="15"/>
  <c r="EZ236" i="15"/>
  <c r="EM236" i="15"/>
  <c r="DY236" i="15"/>
  <c r="DL236" i="15"/>
  <c r="CY236" i="15"/>
  <c r="CK236" i="15"/>
  <c r="BX236" i="15"/>
  <c r="BK236" i="15"/>
  <c r="AW236" i="15"/>
  <c r="AJ236" i="15"/>
  <c r="W236" i="15"/>
  <c r="FM235" i="15"/>
  <c r="EZ235" i="15"/>
  <c r="EM235" i="15"/>
  <c r="DY235" i="15"/>
  <c r="DL235" i="15"/>
  <c r="CY235" i="15"/>
  <c r="CK235" i="15"/>
  <c r="BX235" i="15"/>
  <c r="BK235" i="15"/>
  <c r="AW235" i="15"/>
  <c r="AJ235" i="15"/>
  <c r="W235" i="15"/>
  <c r="FM234" i="15"/>
  <c r="EZ234" i="15"/>
  <c r="EM234" i="15"/>
  <c r="DY234" i="15"/>
  <c r="DL234" i="15"/>
  <c r="CY234" i="15"/>
  <c r="CK234" i="15"/>
  <c r="BX234" i="15"/>
  <c r="BK234" i="15"/>
  <c r="AW234" i="15"/>
  <c r="AJ234" i="15"/>
  <c r="W234" i="15"/>
  <c r="FM233" i="15"/>
  <c r="EZ233" i="15"/>
  <c r="EM233" i="15"/>
  <c r="DY233" i="15"/>
  <c r="DL233" i="15"/>
  <c r="CY233" i="15"/>
  <c r="CK233" i="15"/>
  <c r="BX233" i="15"/>
  <c r="BK233" i="15"/>
  <c r="AW233" i="15"/>
  <c r="AJ233" i="15"/>
  <c r="W233" i="15"/>
  <c r="FM232" i="15"/>
  <c r="EZ232" i="15"/>
  <c r="EM232" i="15"/>
  <c r="DY232" i="15"/>
  <c r="DL232" i="15"/>
  <c r="CY232" i="15"/>
  <c r="CK232" i="15"/>
  <c r="BX232" i="15"/>
  <c r="BK232" i="15"/>
  <c r="AW232" i="15"/>
  <c r="AJ232" i="15"/>
  <c r="W232" i="15"/>
  <c r="FM231" i="15"/>
  <c r="EZ231" i="15"/>
  <c r="EM231" i="15"/>
  <c r="DY231" i="15"/>
  <c r="DL231" i="15"/>
  <c r="CY231" i="15"/>
  <c r="CK231" i="15"/>
  <c r="BX231" i="15"/>
  <c r="BK231" i="15"/>
  <c r="AW231" i="15"/>
  <c r="AJ231" i="15"/>
  <c r="W231" i="15"/>
  <c r="FM230" i="15"/>
  <c r="EZ230" i="15"/>
  <c r="EM230" i="15"/>
  <c r="DY230" i="15"/>
  <c r="DL230" i="15"/>
  <c r="CY230" i="15"/>
  <c r="CK230" i="15"/>
  <c r="BX230" i="15"/>
  <c r="BK230" i="15"/>
  <c r="AW230" i="15"/>
  <c r="AJ230" i="15"/>
  <c r="W230" i="15"/>
  <c r="FM229" i="15"/>
  <c r="EZ229" i="15"/>
  <c r="EM229" i="15"/>
  <c r="DY229" i="15"/>
  <c r="DL229" i="15"/>
  <c r="CY229" i="15"/>
  <c r="CK229" i="15"/>
  <c r="BX229" i="15"/>
  <c r="BK229" i="15"/>
  <c r="AW229" i="15"/>
  <c r="AJ229" i="15"/>
  <c r="W229" i="15"/>
  <c r="FM228" i="15"/>
  <c r="EZ228" i="15"/>
  <c r="EM228" i="15"/>
  <c r="DY228" i="15"/>
  <c r="DL228" i="15"/>
  <c r="CY228" i="15"/>
  <c r="CK228" i="15"/>
  <c r="BX228" i="15"/>
  <c r="BK228" i="15"/>
  <c r="AW228" i="15"/>
  <c r="AJ228" i="15"/>
  <c r="W228" i="15"/>
  <c r="FM227" i="15"/>
  <c r="EZ227" i="15"/>
  <c r="EM227" i="15"/>
  <c r="DY227" i="15"/>
  <c r="DL227" i="15"/>
  <c r="CY227" i="15"/>
  <c r="CK227" i="15"/>
  <c r="BX227" i="15"/>
  <c r="BK227" i="15"/>
  <c r="AW227" i="15"/>
  <c r="AJ227" i="15"/>
  <c r="W227" i="15"/>
  <c r="FM226" i="15"/>
  <c r="EZ226" i="15"/>
  <c r="EM226" i="15"/>
  <c r="DY226" i="15"/>
  <c r="DL226" i="15"/>
  <c r="CY226" i="15"/>
  <c r="CK226" i="15"/>
  <c r="BX226" i="15"/>
  <c r="BK226" i="15"/>
  <c r="AW226" i="15"/>
  <c r="AJ226" i="15"/>
  <c r="W226" i="15"/>
  <c r="FM225" i="15"/>
  <c r="EZ225" i="15"/>
  <c r="EM225" i="15"/>
  <c r="DY225" i="15"/>
  <c r="DL225" i="15"/>
  <c r="CY225" i="15"/>
  <c r="CK225" i="15"/>
  <c r="BX225" i="15"/>
  <c r="BK225" i="15"/>
  <c r="AW225" i="15"/>
  <c r="AJ225" i="15"/>
  <c r="W225" i="15"/>
  <c r="FL224" i="15"/>
  <c r="FK224" i="15"/>
  <c r="FJ224" i="15"/>
  <c r="FI224" i="15"/>
  <c r="FH224" i="15"/>
  <c r="FG224" i="15"/>
  <c r="FF224" i="15"/>
  <c r="FE224" i="15"/>
  <c r="FD224" i="15"/>
  <c r="FC224" i="15"/>
  <c r="FB224" i="15"/>
  <c r="FA224" i="15"/>
  <c r="EY224" i="15"/>
  <c r="EX224" i="15"/>
  <c r="EW224" i="15"/>
  <c r="EV224" i="15"/>
  <c r="EU224" i="15"/>
  <c r="ET224" i="15"/>
  <c r="ES224" i="15"/>
  <c r="ER224" i="15"/>
  <c r="EQ224" i="15"/>
  <c r="EP224" i="15"/>
  <c r="EO224" i="15"/>
  <c r="EN224" i="15"/>
  <c r="EL224" i="15"/>
  <c r="EK224" i="15"/>
  <c r="EJ224" i="15"/>
  <c r="EI224" i="15"/>
  <c r="EH224" i="15"/>
  <c r="EG224" i="15"/>
  <c r="EF224" i="15"/>
  <c r="EE224" i="15"/>
  <c r="ED224" i="15"/>
  <c r="EC224" i="15"/>
  <c r="EB224" i="15"/>
  <c r="EA224" i="15"/>
  <c r="DX224" i="15"/>
  <c r="DW224" i="15"/>
  <c r="DV224" i="15"/>
  <c r="DU224" i="15"/>
  <c r="DT224" i="15"/>
  <c r="DS224" i="15"/>
  <c r="DR224" i="15"/>
  <c r="DQ224" i="15"/>
  <c r="DP224" i="15"/>
  <c r="DO224" i="15"/>
  <c r="DN224" i="15"/>
  <c r="DM224" i="15"/>
  <c r="DK224" i="15"/>
  <c r="DJ224" i="15"/>
  <c r="DI224" i="15"/>
  <c r="DH224" i="15"/>
  <c r="DG224" i="15"/>
  <c r="DF224" i="15"/>
  <c r="DE224" i="15"/>
  <c r="DD224" i="15"/>
  <c r="DC224" i="15"/>
  <c r="DB224" i="15"/>
  <c r="DA224" i="15"/>
  <c r="CZ224" i="15"/>
  <c r="CX224" i="15"/>
  <c r="CW224" i="15"/>
  <c r="CV224" i="15"/>
  <c r="CU224" i="15"/>
  <c r="CT224" i="15"/>
  <c r="CS224" i="15"/>
  <c r="CR224" i="15"/>
  <c r="CQ224" i="15"/>
  <c r="CP224" i="15"/>
  <c r="CO224" i="15"/>
  <c r="CN224" i="15"/>
  <c r="CM224" i="15"/>
  <c r="BJ224" i="15"/>
  <c r="BI224" i="15"/>
  <c r="BH224" i="15"/>
  <c r="BG224" i="15"/>
  <c r="BF224" i="15"/>
  <c r="BE224" i="15"/>
  <c r="BD224" i="15"/>
  <c r="BC224" i="15"/>
  <c r="BB224" i="15"/>
  <c r="BA224" i="15"/>
  <c r="AZ224" i="15"/>
  <c r="AY224" i="15"/>
  <c r="AV224" i="15"/>
  <c r="AU224" i="15"/>
  <c r="AT224" i="15"/>
  <c r="AS224" i="15"/>
  <c r="AR224" i="15"/>
  <c r="AQ224" i="15"/>
  <c r="AP224" i="15"/>
  <c r="AO224" i="15"/>
  <c r="AN224" i="15"/>
  <c r="AM224" i="15"/>
  <c r="AL224" i="15"/>
  <c r="AK224" i="15"/>
  <c r="AI224" i="15"/>
  <c r="AH224" i="15"/>
  <c r="AG224" i="15"/>
  <c r="AF224" i="15"/>
  <c r="AE224" i="15"/>
  <c r="AD224" i="15"/>
  <c r="AC224" i="15"/>
  <c r="AB224" i="15"/>
  <c r="AA224" i="15"/>
  <c r="Z224" i="15"/>
  <c r="Y224" i="15"/>
  <c r="X224" i="15"/>
  <c r="V224" i="15"/>
  <c r="U224" i="15"/>
  <c r="T224" i="15"/>
  <c r="S224" i="15"/>
  <c r="R224" i="15"/>
  <c r="Q224" i="15"/>
  <c r="P224" i="15"/>
  <c r="O224" i="15"/>
  <c r="N224" i="15"/>
  <c r="M224" i="15"/>
  <c r="L224" i="15"/>
  <c r="K224" i="15"/>
  <c r="FM223" i="15"/>
  <c r="EZ223" i="15"/>
  <c r="EM223" i="15"/>
  <c r="DY223" i="15"/>
  <c r="DL223" i="15"/>
  <c r="CY223" i="15"/>
  <c r="CK223" i="15"/>
  <c r="BX223" i="15"/>
  <c r="BK223" i="15"/>
  <c r="AW223" i="15"/>
  <c r="AJ223" i="15"/>
  <c r="W223" i="15"/>
  <c r="FM222" i="15"/>
  <c r="EZ222" i="15"/>
  <c r="EM222" i="15"/>
  <c r="DY222" i="15"/>
  <c r="DL222" i="15"/>
  <c r="CY222" i="15"/>
  <c r="CK222" i="15"/>
  <c r="BX222" i="15"/>
  <c r="BK222" i="15"/>
  <c r="AW222" i="15"/>
  <c r="AJ222" i="15"/>
  <c r="W222" i="15"/>
  <c r="FM221" i="15"/>
  <c r="EZ221" i="15"/>
  <c r="EM221" i="15"/>
  <c r="DY221" i="15"/>
  <c r="DL221" i="15"/>
  <c r="CY221" i="15"/>
  <c r="CK221" i="15"/>
  <c r="BX221" i="15"/>
  <c r="BK221" i="15"/>
  <c r="AW221" i="15"/>
  <c r="AJ221" i="15"/>
  <c r="W221" i="15"/>
  <c r="FM220" i="15"/>
  <c r="EZ220" i="15"/>
  <c r="EM220" i="15"/>
  <c r="DY220" i="15"/>
  <c r="DL220" i="15"/>
  <c r="CY220" i="15"/>
  <c r="CK220" i="15"/>
  <c r="BX220" i="15"/>
  <c r="BK220" i="15"/>
  <c r="AW220" i="15"/>
  <c r="AJ220" i="15"/>
  <c r="W220" i="15"/>
  <c r="FM219" i="15"/>
  <c r="EZ219" i="15"/>
  <c r="EM219" i="15"/>
  <c r="DY219" i="15"/>
  <c r="DL219" i="15"/>
  <c r="CY219" i="15"/>
  <c r="CK219" i="15"/>
  <c r="BX219" i="15"/>
  <c r="BK219" i="15"/>
  <c r="AJ219" i="15"/>
  <c r="W219" i="15"/>
  <c r="FM218" i="15"/>
  <c r="EZ218" i="15"/>
  <c r="EM218" i="15"/>
  <c r="DY218" i="15"/>
  <c r="DL218" i="15"/>
  <c r="CY218" i="15"/>
  <c r="CK218" i="15"/>
  <c r="BX218" i="15"/>
  <c r="BK218" i="15"/>
  <c r="AW218" i="15"/>
  <c r="AJ218" i="15"/>
  <c r="W218" i="15"/>
  <c r="FM217" i="15"/>
  <c r="EZ217" i="15"/>
  <c r="EM217" i="15"/>
  <c r="DY217" i="15"/>
  <c r="DL217" i="15"/>
  <c r="CY217" i="15"/>
  <c r="CK217" i="15"/>
  <c r="BX217" i="15"/>
  <c r="BK217" i="15"/>
  <c r="AW217" i="15"/>
  <c r="AJ217" i="15"/>
  <c r="W217" i="15"/>
  <c r="AX217" i="15" s="1"/>
  <c r="FM216" i="15"/>
  <c r="EZ216" i="15"/>
  <c r="EM216" i="15"/>
  <c r="DY216" i="15"/>
  <c r="DL216" i="15"/>
  <c r="CY216" i="15"/>
  <c r="CK216" i="15"/>
  <c r="BX216" i="15"/>
  <c r="BK216" i="15"/>
  <c r="AW216" i="15"/>
  <c r="AJ216" i="15"/>
  <c r="W216" i="15"/>
  <c r="FM215" i="15"/>
  <c r="EZ215" i="15"/>
  <c r="EM215" i="15"/>
  <c r="DY215" i="15"/>
  <c r="DL215" i="15"/>
  <c r="CY215" i="15"/>
  <c r="CK215" i="15"/>
  <c r="BX215" i="15"/>
  <c r="BK215" i="15"/>
  <c r="AW215" i="15"/>
  <c r="AJ215" i="15"/>
  <c r="W215" i="15"/>
  <c r="AX215" i="15" s="1"/>
  <c r="FM214" i="15"/>
  <c r="EZ214" i="15"/>
  <c r="EM214" i="15"/>
  <c r="DY214" i="15"/>
  <c r="DL214" i="15"/>
  <c r="CY214" i="15"/>
  <c r="CK214" i="15"/>
  <c r="BX214" i="15"/>
  <c r="BK214" i="15"/>
  <c r="AW214" i="15"/>
  <c r="AJ214" i="15"/>
  <c r="W214" i="15"/>
  <c r="FM213" i="15"/>
  <c r="EZ213" i="15"/>
  <c r="EM213" i="15"/>
  <c r="DY213" i="15"/>
  <c r="DL213" i="15"/>
  <c r="CY213" i="15"/>
  <c r="CK213" i="15"/>
  <c r="BX213" i="15"/>
  <c r="BK213" i="15"/>
  <c r="AW213" i="15"/>
  <c r="AJ213" i="15"/>
  <c r="W213" i="15"/>
  <c r="AX213" i="15" s="1"/>
  <c r="FM212" i="15"/>
  <c r="EZ212" i="15"/>
  <c r="EM212" i="15"/>
  <c r="DY212" i="15"/>
  <c r="DL212" i="15"/>
  <c r="CY212" i="15"/>
  <c r="CK212" i="15"/>
  <c r="BX212" i="15"/>
  <c r="BK212" i="15"/>
  <c r="AW212" i="15"/>
  <c r="AJ212" i="15"/>
  <c r="W212" i="15"/>
  <c r="FM211" i="15"/>
  <c r="EZ211" i="15"/>
  <c r="EM211" i="15"/>
  <c r="DY211" i="15"/>
  <c r="DL211" i="15"/>
  <c r="CY211" i="15"/>
  <c r="CK211" i="15"/>
  <c r="BX211" i="15"/>
  <c r="BK211" i="15"/>
  <c r="AW211" i="15"/>
  <c r="AJ211" i="15"/>
  <c r="W211" i="15"/>
  <c r="AX211" i="15" s="1"/>
  <c r="FM210" i="15"/>
  <c r="EZ210" i="15"/>
  <c r="EM210" i="15"/>
  <c r="DY210" i="15"/>
  <c r="DL210" i="15"/>
  <c r="CY210" i="15"/>
  <c r="CK210" i="15"/>
  <c r="BX210" i="15"/>
  <c r="BK210" i="15"/>
  <c r="AW210" i="15"/>
  <c r="AJ210" i="15"/>
  <c r="W210" i="15"/>
  <c r="FM209" i="15"/>
  <c r="EZ209" i="15"/>
  <c r="EM209" i="15"/>
  <c r="DY209" i="15"/>
  <c r="DL209" i="15"/>
  <c r="CY209" i="15"/>
  <c r="CK209" i="15"/>
  <c r="BX209" i="15"/>
  <c r="BK209" i="15"/>
  <c r="AW209" i="15"/>
  <c r="AJ209" i="15"/>
  <c r="W209" i="15"/>
  <c r="AX209" i="15" s="1"/>
  <c r="FM208" i="15"/>
  <c r="EZ208" i="15"/>
  <c r="EM208" i="15"/>
  <c r="DY208" i="15"/>
  <c r="DL208" i="15"/>
  <c r="CY208" i="15"/>
  <c r="CK208" i="15"/>
  <c r="BX208" i="15"/>
  <c r="BK208" i="15"/>
  <c r="AW208" i="15"/>
  <c r="AJ208" i="15"/>
  <c r="W208" i="15"/>
  <c r="FM207" i="15"/>
  <c r="EZ207" i="15"/>
  <c r="EM207" i="15"/>
  <c r="DY207" i="15"/>
  <c r="DL207" i="15"/>
  <c r="CY207" i="15"/>
  <c r="CK207" i="15"/>
  <c r="BX207" i="15"/>
  <c r="BK207" i="15"/>
  <c r="AW207" i="15"/>
  <c r="AJ207" i="15"/>
  <c r="W207" i="15"/>
  <c r="AX207" i="15" s="1"/>
  <c r="FM206" i="15"/>
  <c r="EZ206" i="15"/>
  <c r="EM206" i="15"/>
  <c r="DY206" i="15"/>
  <c r="DL206" i="15"/>
  <c r="CY206" i="15"/>
  <c r="CK206" i="15"/>
  <c r="BX206" i="15"/>
  <c r="BK206" i="15"/>
  <c r="AW206" i="15"/>
  <c r="AJ206" i="15"/>
  <c r="W206" i="15"/>
  <c r="FM205" i="15"/>
  <c r="EZ205" i="15"/>
  <c r="EM205" i="15"/>
  <c r="DY205" i="15"/>
  <c r="DL205" i="15"/>
  <c r="CY205" i="15"/>
  <c r="CK205" i="15"/>
  <c r="BX205" i="15"/>
  <c r="BK205" i="15"/>
  <c r="AW205" i="15"/>
  <c r="AJ205" i="15"/>
  <c r="W205" i="15"/>
  <c r="AX205" i="15" s="1"/>
  <c r="FM204" i="15"/>
  <c r="EZ204" i="15"/>
  <c r="EM204" i="15"/>
  <c r="DY204" i="15"/>
  <c r="DL204" i="15"/>
  <c r="CY204" i="15"/>
  <c r="CK204" i="15"/>
  <c r="BX204" i="15"/>
  <c r="BK204" i="15"/>
  <c r="AW204" i="15"/>
  <c r="AJ204" i="15"/>
  <c r="W204" i="15"/>
  <c r="FM203" i="15"/>
  <c r="EZ203" i="15"/>
  <c r="EM203" i="15"/>
  <c r="DY203" i="15"/>
  <c r="DL203" i="15"/>
  <c r="CY203" i="15"/>
  <c r="CK203" i="15"/>
  <c r="BX203" i="15"/>
  <c r="BK203" i="15"/>
  <c r="AW203" i="15"/>
  <c r="AJ203" i="15"/>
  <c r="W203" i="15"/>
  <c r="FL202" i="15"/>
  <c r="FL245" i="15" s="1"/>
  <c r="FK202" i="15"/>
  <c r="FJ202" i="15"/>
  <c r="FI202" i="15"/>
  <c r="FH202" i="15"/>
  <c r="FG202" i="15"/>
  <c r="FF202" i="15"/>
  <c r="FE202" i="15"/>
  <c r="FD202" i="15"/>
  <c r="FD245" i="15" s="1"/>
  <c r="FC202" i="15"/>
  <c r="FB202" i="15"/>
  <c r="FA202" i="15"/>
  <c r="EY202" i="15"/>
  <c r="EY245" i="15" s="1"/>
  <c r="EX202" i="15"/>
  <c r="EW202" i="15"/>
  <c r="EW245" i="15" s="1"/>
  <c r="EV202" i="15"/>
  <c r="EU202" i="15"/>
  <c r="ET202" i="15"/>
  <c r="ES202" i="15"/>
  <c r="ES245" i="15" s="1"/>
  <c r="ER202" i="15"/>
  <c r="EQ202" i="15"/>
  <c r="EQ245" i="15" s="1"/>
  <c r="EP202" i="15"/>
  <c r="EO202" i="15"/>
  <c r="EN202" i="15"/>
  <c r="EL202" i="15"/>
  <c r="EL245" i="15" s="1"/>
  <c r="EK202" i="15"/>
  <c r="EJ202" i="15"/>
  <c r="EJ245" i="15" s="1"/>
  <c r="EI202" i="15"/>
  <c r="EI245" i="15" s="1"/>
  <c r="EH202" i="15"/>
  <c r="EG202" i="15"/>
  <c r="EF202" i="15"/>
  <c r="EF245" i="15" s="1"/>
  <c r="EE202" i="15"/>
  <c r="ED202" i="15"/>
  <c r="ED245" i="15" s="1"/>
  <c r="EC202" i="15"/>
  <c r="EC245" i="15" s="1"/>
  <c r="EB202" i="15"/>
  <c r="EA202" i="15"/>
  <c r="DX202" i="15"/>
  <c r="DW202" i="15"/>
  <c r="DV202" i="15"/>
  <c r="DU202" i="15"/>
  <c r="DU245" i="15" s="1"/>
  <c r="DT202" i="15"/>
  <c r="DS202" i="15"/>
  <c r="DR202" i="15"/>
  <c r="DQ202" i="15"/>
  <c r="DP202" i="15"/>
  <c r="DO202" i="15"/>
  <c r="DO245" i="15" s="1"/>
  <c r="DN202" i="15"/>
  <c r="DM202" i="15"/>
  <c r="DK202" i="15"/>
  <c r="DK245" i="15" s="1"/>
  <c r="DJ202" i="15"/>
  <c r="DI202" i="15"/>
  <c r="DI245" i="15" s="1"/>
  <c r="DH202" i="15"/>
  <c r="DG202" i="15"/>
  <c r="DF202" i="15"/>
  <c r="DE202" i="15"/>
  <c r="DE245" i="15" s="1"/>
  <c r="DD202" i="15"/>
  <c r="DC202" i="15"/>
  <c r="DC245" i="15" s="1"/>
  <c r="DB202" i="15"/>
  <c r="DA202" i="15"/>
  <c r="CZ202" i="15"/>
  <c r="CX202" i="15"/>
  <c r="CX245" i="15" s="1"/>
  <c r="CW202" i="15"/>
  <c r="CV202" i="15"/>
  <c r="CV245" i="15" s="1"/>
  <c r="CU202" i="15"/>
  <c r="CU245" i="15" s="1"/>
  <c r="CT202" i="15"/>
  <c r="CS202" i="15"/>
  <c r="CR202" i="15"/>
  <c r="CR245" i="15" s="1"/>
  <c r="CQ202" i="15"/>
  <c r="CP202" i="15"/>
  <c r="CP245" i="15" s="1"/>
  <c r="CO202" i="15"/>
  <c r="CO245" i="15" s="1"/>
  <c r="CN202" i="15"/>
  <c r="CM202" i="15"/>
  <c r="BJ202" i="15"/>
  <c r="BJ245" i="15" s="1"/>
  <c r="BI202" i="15"/>
  <c r="BI245" i="15" s="1"/>
  <c r="BH202" i="15"/>
  <c r="BG202" i="15"/>
  <c r="BG245" i="15" s="1"/>
  <c r="BF202" i="15"/>
  <c r="BF245" i="15" s="1"/>
  <c r="BE202" i="15"/>
  <c r="BE245" i="15" s="1"/>
  <c r="BD202" i="15"/>
  <c r="BD245" i="15" s="1"/>
  <c r="BC202" i="15"/>
  <c r="BC245" i="15" s="1"/>
  <c r="BB202" i="15"/>
  <c r="BB245" i="15" s="1"/>
  <c r="BA202" i="15"/>
  <c r="BA245" i="15" s="1"/>
  <c r="AZ202" i="15"/>
  <c r="AZ245" i="15" s="1"/>
  <c r="AY202" i="15"/>
  <c r="AY245" i="15" s="1"/>
  <c r="AV202" i="15"/>
  <c r="AU202" i="15"/>
  <c r="AT202" i="15"/>
  <c r="AS202" i="15"/>
  <c r="AR202" i="15"/>
  <c r="AQ202" i="15"/>
  <c r="AP202" i="15"/>
  <c r="AO202" i="15"/>
  <c r="AN202" i="15"/>
  <c r="AM202" i="15"/>
  <c r="AL202" i="15"/>
  <c r="AK202" i="15"/>
  <c r="AI202" i="15"/>
  <c r="AH202" i="15"/>
  <c r="AG202" i="15"/>
  <c r="AF202" i="15"/>
  <c r="AE202" i="15"/>
  <c r="AD202" i="15"/>
  <c r="AC202" i="15"/>
  <c r="AB202" i="15"/>
  <c r="AA202" i="15"/>
  <c r="Z202" i="15"/>
  <c r="Y202" i="15"/>
  <c r="X202" i="15"/>
  <c r="V202" i="15"/>
  <c r="V245" i="15" s="1"/>
  <c r="U202" i="15"/>
  <c r="U245" i="15" s="1"/>
  <c r="T202" i="15"/>
  <c r="T245" i="15" s="1"/>
  <c r="S202" i="15"/>
  <c r="S245" i="15" s="1"/>
  <c r="R202" i="15"/>
  <c r="R245" i="15" s="1"/>
  <c r="Q202" i="15"/>
  <c r="P202" i="15"/>
  <c r="P245" i="15" s="1"/>
  <c r="O202" i="15"/>
  <c r="O245" i="15" s="1"/>
  <c r="N202" i="15"/>
  <c r="N245" i="15" s="1"/>
  <c r="M202" i="15"/>
  <c r="M245" i="15" s="1"/>
  <c r="L202" i="15"/>
  <c r="L245" i="15" s="1"/>
  <c r="K202" i="15"/>
  <c r="FM201" i="15"/>
  <c r="EZ201" i="15"/>
  <c r="EM201" i="15"/>
  <c r="DY201" i="15"/>
  <c r="DL201" i="15"/>
  <c r="CY201" i="15"/>
  <c r="CK201" i="15"/>
  <c r="BX201" i="15"/>
  <c r="BK201" i="15"/>
  <c r="AW201" i="15"/>
  <c r="AJ201" i="15"/>
  <c r="W201" i="15"/>
  <c r="FM200" i="15"/>
  <c r="EZ200" i="15"/>
  <c r="EM200" i="15"/>
  <c r="DY200" i="15"/>
  <c r="DL200" i="15"/>
  <c r="CY200" i="15"/>
  <c r="CK200" i="15"/>
  <c r="BX200" i="15"/>
  <c r="BK200" i="15"/>
  <c r="AW200" i="15"/>
  <c r="AJ200" i="15"/>
  <c r="W200" i="15"/>
  <c r="FM199" i="15"/>
  <c r="EZ199" i="15"/>
  <c r="EM199" i="15"/>
  <c r="DY199" i="15"/>
  <c r="DL199" i="15"/>
  <c r="CY199" i="15"/>
  <c r="CK199" i="15"/>
  <c r="BX199" i="15"/>
  <c r="BK199" i="15"/>
  <c r="AW199" i="15"/>
  <c r="AJ199" i="15"/>
  <c r="W199" i="15"/>
  <c r="FM198" i="15"/>
  <c r="EZ198" i="15"/>
  <c r="EM198" i="15"/>
  <c r="DY198" i="15"/>
  <c r="DL198" i="15"/>
  <c r="CY198" i="15"/>
  <c r="CK198" i="15"/>
  <c r="BX198" i="15"/>
  <c r="BK198" i="15"/>
  <c r="AW198" i="15"/>
  <c r="AJ198" i="15"/>
  <c r="W198" i="15"/>
  <c r="FM197" i="15"/>
  <c r="EZ197" i="15"/>
  <c r="EM197" i="15"/>
  <c r="DY197" i="15"/>
  <c r="DL197" i="15"/>
  <c r="CY197" i="15"/>
  <c r="CK197" i="15"/>
  <c r="BX197" i="15"/>
  <c r="BK197" i="15"/>
  <c r="AW197" i="15"/>
  <c r="AJ197" i="15"/>
  <c r="W197" i="15"/>
  <c r="FM196" i="15"/>
  <c r="EZ196" i="15"/>
  <c r="EM196" i="15"/>
  <c r="DY196" i="15"/>
  <c r="DL196" i="15"/>
  <c r="CY196" i="15"/>
  <c r="CK196" i="15"/>
  <c r="BX196" i="15"/>
  <c r="BK196" i="15"/>
  <c r="AW196" i="15"/>
  <c r="AJ196" i="15"/>
  <c r="W196" i="15"/>
  <c r="FM195" i="15"/>
  <c r="EZ195" i="15"/>
  <c r="EM195" i="15"/>
  <c r="DY195" i="15"/>
  <c r="DL195" i="15"/>
  <c r="CY195" i="15"/>
  <c r="CK195" i="15"/>
  <c r="BX195" i="15"/>
  <c r="BK195" i="15"/>
  <c r="AW195" i="15"/>
  <c r="AJ195" i="15"/>
  <c r="W195" i="15"/>
  <c r="FM194" i="15"/>
  <c r="EZ194" i="15"/>
  <c r="EM194" i="15"/>
  <c r="DY194" i="15"/>
  <c r="DL194" i="15"/>
  <c r="CY194" i="15"/>
  <c r="CK194" i="15"/>
  <c r="BX194" i="15"/>
  <c r="BK194" i="15"/>
  <c r="AW194" i="15"/>
  <c r="AJ194" i="15"/>
  <c r="W194" i="15"/>
  <c r="FM193" i="15"/>
  <c r="EZ193" i="15"/>
  <c r="EM193" i="15"/>
  <c r="DY193" i="15"/>
  <c r="DL193" i="15"/>
  <c r="CY193" i="15"/>
  <c r="CK193" i="15"/>
  <c r="BX193" i="15"/>
  <c r="BK193" i="15"/>
  <c r="AW193" i="15"/>
  <c r="AJ193" i="15"/>
  <c r="W193" i="15"/>
  <c r="FM192" i="15"/>
  <c r="EZ192" i="15"/>
  <c r="EM192" i="15"/>
  <c r="DY192" i="15"/>
  <c r="DL192" i="15"/>
  <c r="CY192" i="15"/>
  <c r="CK192" i="15"/>
  <c r="BX192" i="15"/>
  <c r="BK192" i="15"/>
  <c r="AW192" i="15"/>
  <c r="AJ192" i="15"/>
  <c r="W192" i="15"/>
  <c r="FM191" i="15"/>
  <c r="EZ191" i="15"/>
  <c r="EM191" i="15"/>
  <c r="DY191" i="15"/>
  <c r="DL191" i="15"/>
  <c r="CY191" i="15"/>
  <c r="CK191" i="15"/>
  <c r="BX191" i="15"/>
  <c r="BK191" i="15"/>
  <c r="AW191" i="15"/>
  <c r="AJ191" i="15"/>
  <c r="W191" i="15"/>
  <c r="FM190" i="15"/>
  <c r="EZ190" i="15"/>
  <c r="EM190" i="15"/>
  <c r="DY190" i="15"/>
  <c r="DL190" i="15"/>
  <c r="CY190" i="15"/>
  <c r="CK190" i="15"/>
  <c r="BX190" i="15"/>
  <c r="BK190" i="15"/>
  <c r="AW190" i="15"/>
  <c r="AJ190" i="15"/>
  <c r="W190" i="15"/>
  <c r="FM189" i="15"/>
  <c r="EZ189" i="15"/>
  <c r="EM189" i="15"/>
  <c r="DY189" i="15"/>
  <c r="DL189" i="15"/>
  <c r="CY189" i="15"/>
  <c r="CK189" i="15"/>
  <c r="BX189" i="15"/>
  <c r="BK189" i="15"/>
  <c r="AW189" i="15"/>
  <c r="AJ189" i="15"/>
  <c r="W189" i="15"/>
  <c r="FM188" i="15"/>
  <c r="EZ188" i="15"/>
  <c r="EM188" i="15"/>
  <c r="DY188" i="15"/>
  <c r="DL188" i="15"/>
  <c r="CY188" i="15"/>
  <c r="CK188" i="15"/>
  <c r="BX188" i="15"/>
  <c r="BK188" i="15"/>
  <c r="AW188" i="15"/>
  <c r="AJ188" i="15"/>
  <c r="W188" i="15"/>
  <c r="FM187" i="15"/>
  <c r="EZ187" i="15"/>
  <c r="EM187" i="15"/>
  <c r="DY187" i="15"/>
  <c r="DL187" i="15"/>
  <c r="CY187" i="15"/>
  <c r="CK187" i="15"/>
  <c r="BX187" i="15"/>
  <c r="BK187" i="15"/>
  <c r="AW187" i="15"/>
  <c r="AJ187" i="15"/>
  <c r="W187" i="15"/>
  <c r="FM186" i="15"/>
  <c r="EZ186" i="15"/>
  <c r="EM186" i="15"/>
  <c r="DY186" i="15"/>
  <c r="DL186" i="15"/>
  <c r="CY186" i="15"/>
  <c r="CK186" i="15"/>
  <c r="BX186" i="15"/>
  <c r="BK186" i="15"/>
  <c r="AW186" i="15"/>
  <c r="AJ186" i="15"/>
  <c r="W186" i="15"/>
  <c r="FM185" i="15"/>
  <c r="EZ185" i="15"/>
  <c r="EM185" i="15"/>
  <c r="DY185" i="15"/>
  <c r="DL185" i="15"/>
  <c r="CY185" i="15"/>
  <c r="CK185" i="15"/>
  <c r="BX185" i="15"/>
  <c r="BK185" i="15"/>
  <c r="AW185" i="15"/>
  <c r="AJ185" i="15"/>
  <c r="W185" i="15"/>
  <c r="FM184" i="15"/>
  <c r="EZ184" i="15"/>
  <c r="EM184" i="15"/>
  <c r="DY184" i="15"/>
  <c r="DL184" i="15"/>
  <c r="CY184" i="15"/>
  <c r="CK184" i="15"/>
  <c r="BX184" i="15"/>
  <c r="BK184" i="15"/>
  <c r="AW184" i="15"/>
  <c r="AJ184" i="15"/>
  <c r="W184" i="15"/>
  <c r="FM183" i="15"/>
  <c r="EZ183" i="15"/>
  <c r="EM183" i="15"/>
  <c r="DY183" i="15"/>
  <c r="DL183" i="15"/>
  <c r="CY183" i="15"/>
  <c r="CK183" i="15"/>
  <c r="BX183" i="15"/>
  <c r="BK183" i="15"/>
  <c r="AW183" i="15"/>
  <c r="AJ183" i="15"/>
  <c r="W183" i="15"/>
  <c r="FM182" i="15"/>
  <c r="EZ182" i="15"/>
  <c r="EM182" i="15"/>
  <c r="DY182" i="15"/>
  <c r="DL182" i="15"/>
  <c r="CY182" i="15"/>
  <c r="CK182" i="15"/>
  <c r="BX182" i="15"/>
  <c r="BK182" i="15"/>
  <c r="AW182" i="15"/>
  <c r="AJ182" i="15"/>
  <c r="W182" i="15"/>
  <c r="FM181" i="15"/>
  <c r="EZ181" i="15"/>
  <c r="EM181" i="15"/>
  <c r="DY181" i="15"/>
  <c r="DL181" i="15"/>
  <c r="CY181" i="15"/>
  <c r="CK181" i="15"/>
  <c r="BX181" i="15"/>
  <c r="BK181" i="15"/>
  <c r="AW181" i="15"/>
  <c r="AJ181" i="15"/>
  <c r="W181" i="15"/>
  <c r="FM180" i="15"/>
  <c r="EZ180" i="15"/>
  <c r="EM180" i="15"/>
  <c r="DY180" i="15"/>
  <c r="DL180" i="15"/>
  <c r="CY180" i="15"/>
  <c r="CK180" i="15"/>
  <c r="BX180" i="15"/>
  <c r="BK180" i="15"/>
  <c r="AW180" i="15"/>
  <c r="AJ180" i="15"/>
  <c r="W180" i="15"/>
  <c r="FM179" i="15"/>
  <c r="EZ179" i="15"/>
  <c r="EM179" i="15"/>
  <c r="DY179" i="15"/>
  <c r="DL179" i="15"/>
  <c r="CY179" i="15"/>
  <c r="CK179" i="15"/>
  <c r="BX179" i="15"/>
  <c r="BK179" i="15"/>
  <c r="AW179" i="15"/>
  <c r="AJ179" i="15"/>
  <c r="W179" i="15"/>
  <c r="FM178" i="15"/>
  <c r="EZ178" i="15"/>
  <c r="EM178" i="15"/>
  <c r="DY178" i="15"/>
  <c r="DL178" i="15"/>
  <c r="CY178" i="15"/>
  <c r="CK178" i="15"/>
  <c r="BX178" i="15"/>
  <c r="BK178" i="15"/>
  <c r="AW178" i="15"/>
  <c r="AJ178" i="15"/>
  <c r="W178" i="15"/>
  <c r="FM177" i="15"/>
  <c r="EZ177" i="15"/>
  <c r="EM177" i="15"/>
  <c r="DY177" i="15"/>
  <c r="DL177" i="15"/>
  <c r="CY177" i="15"/>
  <c r="CK177" i="15"/>
  <c r="BX177" i="15"/>
  <c r="BK177" i="15"/>
  <c r="AW177" i="15"/>
  <c r="AJ177" i="15"/>
  <c r="W177" i="15"/>
  <c r="FM176" i="15"/>
  <c r="EZ176" i="15"/>
  <c r="EM176" i="15"/>
  <c r="DY176" i="15"/>
  <c r="DL176" i="15"/>
  <c r="CY176" i="15"/>
  <c r="CK176" i="15"/>
  <c r="BX176" i="15"/>
  <c r="BK176" i="15"/>
  <c r="AW176" i="15"/>
  <c r="AJ176" i="15"/>
  <c r="W176" i="15"/>
  <c r="FM175" i="15"/>
  <c r="EZ175" i="15"/>
  <c r="EM175" i="15"/>
  <c r="DY175" i="15"/>
  <c r="DL175" i="15"/>
  <c r="CY175" i="15"/>
  <c r="CK175" i="15"/>
  <c r="BX175" i="15"/>
  <c r="BK175" i="15"/>
  <c r="AW175" i="15"/>
  <c r="AJ175" i="15"/>
  <c r="W175" i="15"/>
  <c r="FM174" i="15"/>
  <c r="EZ174" i="15"/>
  <c r="EM174" i="15"/>
  <c r="DY174" i="15"/>
  <c r="DL174" i="15"/>
  <c r="CY174" i="15"/>
  <c r="CK174" i="15"/>
  <c r="BX174" i="15"/>
  <c r="BK174" i="15"/>
  <c r="AW174" i="15"/>
  <c r="AJ174" i="15"/>
  <c r="W174" i="15"/>
  <c r="FM173" i="15"/>
  <c r="EZ173" i="15"/>
  <c r="EM173" i="15"/>
  <c r="DY173" i="15"/>
  <c r="DL173" i="15"/>
  <c r="CY173" i="15"/>
  <c r="CK173" i="15"/>
  <c r="BX173" i="15"/>
  <c r="BK173" i="15"/>
  <c r="AW173" i="15"/>
  <c r="AJ173" i="15"/>
  <c r="W173" i="15"/>
  <c r="FM172" i="15"/>
  <c r="EZ172" i="15"/>
  <c r="EM172" i="15"/>
  <c r="DY172" i="15"/>
  <c r="DL172" i="15"/>
  <c r="CY172" i="15"/>
  <c r="CK172" i="15"/>
  <c r="BX172" i="15"/>
  <c r="BK172" i="15"/>
  <c r="AW172" i="15"/>
  <c r="AJ172" i="15"/>
  <c r="W172" i="15"/>
  <c r="FM171" i="15"/>
  <c r="EZ171" i="15"/>
  <c r="EM171" i="15"/>
  <c r="DY171" i="15"/>
  <c r="DL171" i="15"/>
  <c r="CY171" i="15"/>
  <c r="CK171" i="15"/>
  <c r="BX171" i="15"/>
  <c r="BK171" i="15"/>
  <c r="AW171" i="15"/>
  <c r="AJ171" i="15"/>
  <c r="W171" i="15"/>
  <c r="FM170" i="15"/>
  <c r="EZ170" i="15"/>
  <c r="EM170" i="15"/>
  <c r="DY170" i="15"/>
  <c r="DL170" i="15"/>
  <c r="CY170" i="15"/>
  <c r="CK170" i="15"/>
  <c r="BX170" i="15"/>
  <c r="BK170" i="15"/>
  <c r="AW170" i="15"/>
  <c r="AJ170" i="15"/>
  <c r="W170" i="15"/>
  <c r="FM169" i="15"/>
  <c r="EZ169" i="15"/>
  <c r="EM169" i="15"/>
  <c r="DY169" i="15"/>
  <c r="DL169" i="15"/>
  <c r="CY169" i="15"/>
  <c r="CK169" i="15"/>
  <c r="BX169" i="15"/>
  <c r="BK169" i="15"/>
  <c r="AW169" i="15"/>
  <c r="AJ169" i="15"/>
  <c r="W169" i="15"/>
  <c r="FM168" i="15"/>
  <c r="EZ168" i="15"/>
  <c r="EM168" i="15"/>
  <c r="DY168" i="15"/>
  <c r="DL168" i="15"/>
  <c r="CY168" i="15"/>
  <c r="CK168" i="15"/>
  <c r="BX168" i="15"/>
  <c r="BK168" i="15"/>
  <c r="AW168" i="15"/>
  <c r="AJ168" i="15"/>
  <c r="W168" i="15"/>
  <c r="FM167" i="15"/>
  <c r="EZ167" i="15"/>
  <c r="EM167" i="15"/>
  <c r="DY167" i="15"/>
  <c r="DL167" i="15"/>
  <c r="CY167" i="15"/>
  <c r="CK167" i="15"/>
  <c r="BX167" i="15"/>
  <c r="BK167" i="15"/>
  <c r="AW167" i="15"/>
  <c r="AJ167" i="15"/>
  <c r="W167" i="15"/>
  <c r="FM166" i="15"/>
  <c r="EZ166" i="15"/>
  <c r="EM166" i="15"/>
  <c r="DY166" i="15"/>
  <c r="DL166" i="15"/>
  <c r="CY166" i="15"/>
  <c r="CK166" i="15"/>
  <c r="BX166" i="15"/>
  <c r="BK166" i="15"/>
  <c r="AW166" i="15"/>
  <c r="AJ166" i="15"/>
  <c r="W166" i="15"/>
  <c r="FM165" i="15"/>
  <c r="EZ165" i="15"/>
  <c r="EM165" i="15"/>
  <c r="DY165" i="15"/>
  <c r="DL165" i="15"/>
  <c r="CY165" i="15"/>
  <c r="CK165" i="15"/>
  <c r="BX165" i="15"/>
  <c r="BK165" i="15"/>
  <c r="AW165" i="15"/>
  <c r="AJ165" i="15"/>
  <c r="W165" i="15"/>
  <c r="FM164" i="15"/>
  <c r="EZ164" i="15"/>
  <c r="EM164" i="15"/>
  <c r="DY164" i="15"/>
  <c r="DL164" i="15"/>
  <c r="CY164" i="15"/>
  <c r="CK164" i="15"/>
  <c r="BX164" i="15"/>
  <c r="BK164" i="15"/>
  <c r="AW164" i="15"/>
  <c r="AJ164" i="15"/>
  <c r="W164" i="15"/>
  <c r="FM163" i="15"/>
  <c r="EZ163" i="15"/>
  <c r="EM163" i="15"/>
  <c r="DY163" i="15"/>
  <c r="DL163" i="15"/>
  <c r="CY163" i="15"/>
  <c r="CK163" i="15"/>
  <c r="BX163" i="15"/>
  <c r="BK163" i="15"/>
  <c r="AW163" i="15"/>
  <c r="AJ163" i="15"/>
  <c r="W163" i="15"/>
  <c r="FM162" i="15"/>
  <c r="EZ162" i="15"/>
  <c r="EM162" i="15"/>
  <c r="DY162" i="15"/>
  <c r="DL162" i="15"/>
  <c r="CY162" i="15"/>
  <c r="CK162" i="15"/>
  <c r="BX162" i="15"/>
  <c r="BK162" i="15"/>
  <c r="AW162" i="15"/>
  <c r="AJ162" i="15"/>
  <c r="W162" i="15"/>
  <c r="FM161" i="15"/>
  <c r="EZ161" i="15"/>
  <c r="EM161" i="15"/>
  <c r="DY161" i="15"/>
  <c r="DL161" i="15"/>
  <c r="CY161" i="15"/>
  <c r="CK161" i="15"/>
  <c r="BX161" i="15"/>
  <c r="BK161" i="15"/>
  <c r="AW161" i="15"/>
  <c r="AJ161" i="15"/>
  <c r="W161" i="15"/>
  <c r="FL152" i="15"/>
  <c r="FK152" i="15"/>
  <c r="FJ152" i="15"/>
  <c r="FI152" i="15"/>
  <c r="FH152" i="15"/>
  <c r="FG152" i="15"/>
  <c r="FF152" i="15"/>
  <c r="FE152" i="15"/>
  <c r="FD152" i="15"/>
  <c r="FC152" i="15"/>
  <c r="FB152" i="15"/>
  <c r="FA152" i="15"/>
  <c r="EY152" i="15"/>
  <c r="EX152" i="15"/>
  <c r="EW152" i="15"/>
  <c r="EV152" i="15"/>
  <c r="EU152" i="15"/>
  <c r="ET152" i="15"/>
  <c r="ES152" i="15"/>
  <c r="ER152" i="15"/>
  <c r="EQ152" i="15"/>
  <c r="EP152" i="15"/>
  <c r="EO152" i="15"/>
  <c r="EN152" i="15"/>
  <c r="EL152" i="15"/>
  <c r="EK152" i="15"/>
  <c r="EJ152" i="15"/>
  <c r="EI152" i="15"/>
  <c r="EH152" i="15"/>
  <c r="EG152" i="15"/>
  <c r="EF152" i="15"/>
  <c r="EE152" i="15"/>
  <c r="ED152" i="15"/>
  <c r="EC152" i="15"/>
  <c r="EB152" i="15"/>
  <c r="EA152" i="15"/>
  <c r="DX152" i="15"/>
  <c r="DW152" i="15"/>
  <c r="DV152" i="15"/>
  <c r="DU152" i="15"/>
  <c r="DT152" i="15"/>
  <c r="DS152" i="15"/>
  <c r="DR152" i="15"/>
  <c r="DQ152" i="15"/>
  <c r="DP152" i="15"/>
  <c r="DO152" i="15"/>
  <c r="DN152" i="15"/>
  <c r="DM152" i="15"/>
  <c r="DJ152" i="15"/>
  <c r="DG152" i="15"/>
  <c r="DD152" i="15"/>
  <c r="DA152" i="15"/>
  <c r="CX152" i="15"/>
  <c r="CW152" i="15"/>
  <c r="CV152" i="15"/>
  <c r="CU152" i="15"/>
  <c r="CT152" i="15"/>
  <c r="CS152" i="15"/>
  <c r="CR152" i="15"/>
  <c r="CQ152" i="15"/>
  <c r="CP152" i="15"/>
  <c r="CO152" i="15"/>
  <c r="CN152" i="15"/>
  <c r="CM152" i="15"/>
  <c r="CJ152" i="15"/>
  <c r="CI152" i="15"/>
  <c r="CH152" i="15"/>
  <c r="CG152" i="15"/>
  <c r="CF152" i="15"/>
  <c r="CE152" i="15"/>
  <c r="CD152" i="15"/>
  <c r="CC152" i="15"/>
  <c r="CB152" i="15"/>
  <c r="CA152" i="15"/>
  <c r="BZ152" i="15"/>
  <c r="BY152" i="15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FM151" i="15"/>
  <c r="EZ151" i="15"/>
  <c r="EM151" i="15"/>
  <c r="DY151" i="15"/>
  <c r="DL151" i="15"/>
  <c r="CY151" i="15"/>
  <c r="CK151" i="15"/>
  <c r="BX151" i="15"/>
  <c r="BK151" i="15"/>
  <c r="AW151" i="15"/>
  <c r="AJ151" i="15"/>
  <c r="W151" i="15"/>
  <c r="FM147" i="15"/>
  <c r="EZ147" i="15"/>
  <c r="EM147" i="15"/>
  <c r="DY147" i="15"/>
  <c r="DL147" i="15"/>
  <c r="CY147" i="15"/>
  <c r="CK147" i="15"/>
  <c r="BX147" i="15"/>
  <c r="BK147" i="15"/>
  <c r="AW147" i="15"/>
  <c r="AJ147" i="15"/>
  <c r="W147" i="15"/>
  <c r="FM146" i="15"/>
  <c r="EZ146" i="15"/>
  <c r="EM146" i="15"/>
  <c r="DY146" i="15"/>
  <c r="DL146" i="15"/>
  <c r="CY146" i="15"/>
  <c r="CK146" i="15"/>
  <c r="BX146" i="15"/>
  <c r="BK146" i="15"/>
  <c r="AW146" i="15"/>
  <c r="AJ146" i="15"/>
  <c r="W146" i="15"/>
  <c r="FM145" i="15"/>
  <c r="EZ145" i="15"/>
  <c r="EM145" i="15"/>
  <c r="DY145" i="15"/>
  <c r="CY145" i="15"/>
  <c r="CK145" i="15"/>
  <c r="BX145" i="15"/>
  <c r="BK145" i="15"/>
  <c r="AW145" i="15"/>
  <c r="AJ145" i="15"/>
  <c r="W145" i="15"/>
  <c r="FM144" i="15"/>
  <c r="EZ144" i="15"/>
  <c r="EM144" i="15"/>
  <c r="DY144" i="15"/>
  <c r="CY144" i="15"/>
  <c r="CK144" i="15"/>
  <c r="BX144" i="15"/>
  <c r="BK144" i="15"/>
  <c r="AW144" i="15"/>
  <c r="AJ144" i="15"/>
  <c r="W144" i="15"/>
  <c r="FM143" i="15"/>
  <c r="EZ143" i="15"/>
  <c r="EM143" i="15"/>
  <c r="DY143" i="15"/>
  <c r="CY143" i="15"/>
  <c r="CK143" i="15"/>
  <c r="BX143" i="15"/>
  <c r="BK143" i="15"/>
  <c r="AW143" i="15"/>
  <c r="AJ143" i="15"/>
  <c r="W143" i="15"/>
  <c r="FM142" i="15"/>
  <c r="EZ142" i="15"/>
  <c r="EM142" i="15"/>
  <c r="DY142" i="15"/>
  <c r="DL142" i="15"/>
  <c r="CY142" i="15"/>
  <c r="CK142" i="15"/>
  <c r="BX142" i="15"/>
  <c r="BK142" i="15"/>
  <c r="AW142" i="15"/>
  <c r="AJ142" i="15"/>
  <c r="W142" i="15"/>
  <c r="FM141" i="15"/>
  <c r="EZ141" i="15"/>
  <c r="EM141" i="15"/>
  <c r="DY141" i="15"/>
  <c r="DK152" i="15"/>
  <c r="DI152" i="15"/>
  <c r="CY141" i="15"/>
  <c r="CK141" i="15"/>
  <c r="BX141" i="15"/>
  <c r="BK141" i="15"/>
  <c r="AW141" i="15"/>
  <c r="AJ141" i="15"/>
  <c r="W141" i="15"/>
  <c r="FM140" i="15"/>
  <c r="EZ140" i="15"/>
  <c r="EM140" i="15"/>
  <c r="DY140" i="15"/>
  <c r="CY140" i="15"/>
  <c r="CK140" i="15"/>
  <c r="BX140" i="15"/>
  <c r="BK140" i="15"/>
  <c r="AW140" i="15"/>
  <c r="AJ140" i="15"/>
  <c r="W140" i="15"/>
  <c r="FM139" i="15"/>
  <c r="EZ139" i="15"/>
  <c r="EM139" i="15"/>
  <c r="DY139" i="15"/>
  <c r="DC152" i="15"/>
  <c r="CY139" i="15"/>
  <c r="CK139" i="15"/>
  <c r="BX139" i="15"/>
  <c r="BK139" i="15"/>
  <c r="AW139" i="15"/>
  <c r="AJ139" i="15"/>
  <c r="W139" i="15"/>
  <c r="FM138" i="15"/>
  <c r="EZ138" i="15"/>
  <c r="EM138" i="15"/>
  <c r="DY138" i="15"/>
  <c r="CY138" i="15"/>
  <c r="CK138" i="15"/>
  <c r="BX138" i="15"/>
  <c r="BK138" i="15"/>
  <c r="AW138" i="15"/>
  <c r="AJ138" i="15"/>
  <c r="W138" i="15"/>
  <c r="FM137" i="15"/>
  <c r="EZ137" i="15"/>
  <c r="EM137" i="15"/>
  <c r="DY137" i="15"/>
  <c r="CY137" i="15"/>
  <c r="CK137" i="15"/>
  <c r="BX137" i="15"/>
  <c r="BK137" i="15"/>
  <c r="AW137" i="15"/>
  <c r="AJ137" i="15"/>
  <c r="W137" i="15"/>
  <c r="FM136" i="15"/>
  <c r="EZ136" i="15"/>
  <c r="EM136" i="15"/>
  <c r="DY136" i="15"/>
  <c r="CY136" i="15"/>
  <c r="CK136" i="15"/>
  <c r="BX136" i="15"/>
  <c r="BK136" i="15"/>
  <c r="AW136" i="15"/>
  <c r="AJ136" i="15"/>
  <c r="W136" i="15"/>
  <c r="FM135" i="15"/>
  <c r="EZ135" i="15"/>
  <c r="EM135" i="15"/>
  <c r="DY135" i="15"/>
  <c r="DH152" i="15"/>
  <c r="DF152" i="15"/>
  <c r="CY135" i="15"/>
  <c r="CK135" i="15"/>
  <c r="BX135" i="15"/>
  <c r="BK135" i="15"/>
  <c r="AW135" i="15"/>
  <c r="AJ135" i="15"/>
  <c r="W135" i="15"/>
  <c r="FM134" i="15"/>
  <c r="EZ134" i="15"/>
  <c r="EM134" i="15"/>
  <c r="DY134" i="15"/>
  <c r="CY134" i="15"/>
  <c r="CK134" i="15"/>
  <c r="BX134" i="15"/>
  <c r="BK134" i="15"/>
  <c r="AW134" i="15"/>
  <c r="AJ134" i="15"/>
  <c r="W134" i="15"/>
  <c r="FM133" i="15"/>
  <c r="EZ133" i="15"/>
  <c r="EM133" i="15"/>
  <c r="DY133" i="15"/>
  <c r="DL133" i="15"/>
  <c r="CY133" i="15"/>
  <c r="CK133" i="15"/>
  <c r="BX133" i="15"/>
  <c r="BK133" i="15"/>
  <c r="AW133" i="15"/>
  <c r="AJ133" i="15"/>
  <c r="W133" i="15"/>
  <c r="FM132" i="15"/>
  <c r="EZ132" i="15"/>
  <c r="EM132" i="15"/>
  <c r="DY132" i="15"/>
  <c r="CY132" i="15"/>
  <c r="CK132" i="15"/>
  <c r="BX132" i="15"/>
  <c r="BK132" i="15"/>
  <c r="AW132" i="15"/>
  <c r="AJ132" i="15"/>
  <c r="W132" i="15"/>
  <c r="FM131" i="15"/>
  <c r="EZ131" i="15"/>
  <c r="EM131" i="15"/>
  <c r="DY131" i="15"/>
  <c r="CZ152" i="15"/>
  <c r="CY131" i="15"/>
  <c r="CK131" i="15"/>
  <c r="BX131" i="15"/>
  <c r="BK131" i="15"/>
  <c r="AW131" i="15"/>
  <c r="AJ131" i="15"/>
  <c r="W131" i="15"/>
  <c r="FM130" i="15"/>
  <c r="EZ130" i="15"/>
  <c r="EM130" i="15"/>
  <c r="DY130" i="15"/>
  <c r="DL130" i="15"/>
  <c r="CY130" i="15"/>
  <c r="CK130" i="15"/>
  <c r="BX130" i="15"/>
  <c r="BK130" i="15"/>
  <c r="AW130" i="15"/>
  <c r="AJ130" i="15"/>
  <c r="W130" i="15"/>
  <c r="FL129" i="15"/>
  <c r="FK129" i="15"/>
  <c r="FJ129" i="15"/>
  <c r="FI129" i="15"/>
  <c r="FH129" i="15"/>
  <c r="FG129" i="15"/>
  <c r="FF129" i="15"/>
  <c r="FE129" i="15"/>
  <c r="FD129" i="15"/>
  <c r="FC129" i="15"/>
  <c r="FB129" i="15"/>
  <c r="FA129" i="15"/>
  <c r="EY129" i="15"/>
  <c r="EX129" i="15"/>
  <c r="EW129" i="15"/>
  <c r="EV129" i="15"/>
  <c r="EU129" i="15"/>
  <c r="ET129" i="15"/>
  <c r="ES129" i="15"/>
  <c r="ER129" i="15"/>
  <c r="EQ129" i="15"/>
  <c r="EP129" i="15"/>
  <c r="EO129" i="15"/>
  <c r="EN129" i="15"/>
  <c r="EL129" i="15"/>
  <c r="EK129" i="15"/>
  <c r="EJ129" i="15"/>
  <c r="EI129" i="15"/>
  <c r="EH129" i="15"/>
  <c r="EG129" i="15"/>
  <c r="EF129" i="15"/>
  <c r="EE129" i="15"/>
  <c r="ED129" i="15"/>
  <c r="EC129" i="15"/>
  <c r="EB129" i="15"/>
  <c r="EA129" i="15"/>
  <c r="DX129" i="15"/>
  <c r="DW129" i="15"/>
  <c r="DV129" i="15"/>
  <c r="DU129" i="15"/>
  <c r="DT129" i="15"/>
  <c r="DS129" i="15"/>
  <c r="DR129" i="15"/>
  <c r="DQ129" i="15"/>
  <c r="DP129" i="15"/>
  <c r="DO129" i="15"/>
  <c r="DN129" i="15"/>
  <c r="DM129" i="15"/>
  <c r="DK129" i="15"/>
  <c r="DJ129" i="15"/>
  <c r="DI129" i="15"/>
  <c r="DH129" i="15"/>
  <c r="DG129" i="15"/>
  <c r="DF129" i="15"/>
  <c r="DE129" i="15"/>
  <c r="DD129" i="15"/>
  <c r="DA129" i="15"/>
  <c r="CX129" i="15"/>
  <c r="CW129" i="15"/>
  <c r="CV129" i="15"/>
  <c r="CU129" i="15"/>
  <c r="CT129" i="15"/>
  <c r="CS129" i="15"/>
  <c r="CR129" i="15"/>
  <c r="CQ129" i="15"/>
  <c r="CP129" i="15"/>
  <c r="CO129" i="15"/>
  <c r="CN129" i="15"/>
  <c r="CM129" i="15"/>
  <c r="CJ129" i="15"/>
  <c r="CI129" i="15"/>
  <c r="CH129" i="15"/>
  <c r="CG129" i="15"/>
  <c r="CF129" i="15"/>
  <c r="CE129" i="15"/>
  <c r="CD129" i="15"/>
  <c r="CC129" i="15"/>
  <c r="CB129" i="15"/>
  <c r="CA129" i="15"/>
  <c r="BZ129" i="15"/>
  <c r="BY129" i="15"/>
  <c r="BW129" i="15"/>
  <c r="BV129" i="15"/>
  <c r="BU129" i="15"/>
  <c r="BT129" i="15"/>
  <c r="BS129" i="15"/>
  <c r="BR129" i="15"/>
  <c r="BQ129" i="15"/>
  <c r="BP129" i="15"/>
  <c r="BO129" i="15"/>
  <c r="BN129" i="15"/>
  <c r="BM129" i="15"/>
  <c r="BL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FM128" i="15"/>
  <c r="EZ128" i="15"/>
  <c r="EM128" i="15"/>
  <c r="DY128" i="15"/>
  <c r="DL128" i="15"/>
  <c r="CY128" i="15"/>
  <c r="CK128" i="15"/>
  <c r="BX128" i="15"/>
  <c r="BK128" i="15"/>
  <c r="AW128" i="15"/>
  <c r="AJ128" i="15"/>
  <c r="W128" i="15"/>
  <c r="FM126" i="15"/>
  <c r="EZ126" i="15"/>
  <c r="EM126" i="15"/>
  <c r="DY126" i="15"/>
  <c r="DB129" i="15"/>
  <c r="CY126" i="15"/>
  <c r="CK126" i="15"/>
  <c r="BX126" i="15"/>
  <c r="BK126" i="15"/>
  <c r="AW126" i="15"/>
  <c r="AJ126" i="15"/>
  <c r="W126" i="15"/>
  <c r="FM125" i="15"/>
  <c r="EZ125" i="15"/>
  <c r="EM125" i="15"/>
  <c r="DY125" i="15"/>
  <c r="DL125" i="15"/>
  <c r="CY125" i="15"/>
  <c r="CK125" i="15"/>
  <c r="BX125" i="15"/>
  <c r="BK125" i="15"/>
  <c r="AW125" i="15"/>
  <c r="AJ125" i="15"/>
  <c r="W125" i="15"/>
  <c r="FM124" i="15"/>
  <c r="EZ124" i="15"/>
  <c r="EM124" i="15"/>
  <c r="DY124" i="15"/>
  <c r="CY124" i="15"/>
  <c r="CK124" i="15"/>
  <c r="BX124" i="15"/>
  <c r="BK124" i="15"/>
  <c r="AW124" i="15"/>
  <c r="AJ124" i="15"/>
  <c r="W124" i="15"/>
  <c r="FM123" i="15"/>
  <c r="EZ123" i="15"/>
  <c r="EM123" i="15"/>
  <c r="DY123" i="15"/>
  <c r="DL123" i="15"/>
  <c r="CY123" i="15"/>
  <c r="CK123" i="15"/>
  <c r="BX123" i="15"/>
  <c r="BK123" i="15"/>
  <c r="AW123" i="15"/>
  <c r="AJ123" i="15"/>
  <c r="W123" i="15"/>
  <c r="FL122" i="15"/>
  <c r="FK122" i="15"/>
  <c r="FJ122" i="15"/>
  <c r="FI122" i="15"/>
  <c r="FH122" i="15"/>
  <c r="FG122" i="15"/>
  <c r="FF122" i="15"/>
  <c r="FE122" i="15"/>
  <c r="FD122" i="15"/>
  <c r="FC122" i="15"/>
  <c r="FB122" i="15"/>
  <c r="FA122" i="15"/>
  <c r="EY122" i="15"/>
  <c r="EX122" i="15"/>
  <c r="EW122" i="15"/>
  <c r="EV122" i="15"/>
  <c r="EU122" i="15"/>
  <c r="ET122" i="15"/>
  <c r="ES122" i="15"/>
  <c r="ER122" i="15"/>
  <c r="EQ122" i="15"/>
  <c r="EP122" i="15"/>
  <c r="EO122" i="15"/>
  <c r="EN122" i="15"/>
  <c r="EL122" i="15"/>
  <c r="EK122" i="15"/>
  <c r="EJ122" i="15"/>
  <c r="EF122" i="15"/>
  <c r="EE122" i="15"/>
  <c r="ED122" i="15"/>
  <c r="EC122" i="15"/>
  <c r="EB122" i="15"/>
  <c r="EA122" i="15"/>
  <c r="DX122" i="15"/>
  <c r="DW122" i="15"/>
  <c r="DV122" i="15"/>
  <c r="DU122" i="15"/>
  <c r="DT122" i="15"/>
  <c r="DS122" i="15"/>
  <c r="DR122" i="15"/>
  <c r="DQ122" i="15"/>
  <c r="DP122" i="15"/>
  <c r="DO122" i="15"/>
  <c r="DN122" i="15"/>
  <c r="DM122" i="15"/>
  <c r="DK122" i="15"/>
  <c r="DJ122" i="15"/>
  <c r="DG122" i="15"/>
  <c r="DE122" i="15"/>
  <c r="DD122" i="15"/>
  <c r="DC122" i="15"/>
  <c r="DB122" i="15"/>
  <c r="DA122" i="15"/>
  <c r="CZ122" i="15"/>
  <c r="CX122" i="15"/>
  <c r="CW122" i="15"/>
  <c r="CV122" i="15"/>
  <c r="CT122" i="15"/>
  <c r="CS122" i="15"/>
  <c r="CR122" i="15"/>
  <c r="CQ122" i="15"/>
  <c r="CP122" i="15"/>
  <c r="CO122" i="15"/>
  <c r="CN122" i="15"/>
  <c r="CM122" i="15"/>
  <c r="CJ122" i="15"/>
  <c r="CI122" i="15"/>
  <c r="CH122" i="15"/>
  <c r="CG122" i="15"/>
  <c r="CF122" i="15"/>
  <c r="CE122" i="15"/>
  <c r="CD122" i="15"/>
  <c r="CC122" i="15"/>
  <c r="CB122" i="15"/>
  <c r="CA122" i="15"/>
  <c r="BZ122" i="15"/>
  <c r="BY122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J122" i="15"/>
  <c r="BI122" i="15"/>
  <c r="BH122" i="15"/>
  <c r="BG122" i="15"/>
  <c r="BD122" i="15"/>
  <c r="BC122" i="15"/>
  <c r="BB122" i="15"/>
  <c r="BA122" i="15"/>
  <c r="AZ122" i="15"/>
  <c r="AY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AJ122" i="15" s="1"/>
  <c r="V122" i="15"/>
  <c r="U122" i="15"/>
  <c r="T122" i="15"/>
  <c r="S122" i="15"/>
  <c r="R122" i="15"/>
  <c r="P122" i="15"/>
  <c r="O122" i="15"/>
  <c r="N122" i="15"/>
  <c r="M122" i="15"/>
  <c r="L122" i="15"/>
  <c r="K122" i="15"/>
  <c r="FM121" i="15"/>
  <c r="EZ121" i="15"/>
  <c r="EM121" i="15"/>
  <c r="DY121" i="15"/>
  <c r="DL121" i="15"/>
  <c r="CY121" i="15"/>
  <c r="CK121" i="15"/>
  <c r="BX121" i="15"/>
  <c r="BK121" i="15"/>
  <c r="AW121" i="15"/>
  <c r="AJ121" i="15"/>
  <c r="W121" i="15"/>
  <c r="FM120" i="15"/>
  <c r="EZ120" i="15"/>
  <c r="DY120" i="15"/>
  <c r="DL120" i="15"/>
  <c r="CY120" i="15"/>
  <c r="CK120" i="15"/>
  <c r="BX120" i="15"/>
  <c r="BK120" i="15"/>
  <c r="AW120" i="15"/>
  <c r="AJ120" i="15"/>
  <c r="W120" i="15"/>
  <c r="FM119" i="15"/>
  <c r="EZ119" i="15"/>
  <c r="EM119" i="15"/>
  <c r="DY119" i="15"/>
  <c r="DL119" i="15"/>
  <c r="CY119" i="15"/>
  <c r="CK119" i="15"/>
  <c r="BX119" i="15"/>
  <c r="BK119" i="15"/>
  <c r="AW119" i="15"/>
  <c r="AJ119" i="15"/>
  <c r="W119" i="15"/>
  <c r="FM118" i="15"/>
  <c r="EZ118" i="15"/>
  <c r="EM118" i="15"/>
  <c r="DY118" i="15"/>
  <c r="DL118" i="15"/>
  <c r="CY118" i="15"/>
  <c r="CK118" i="15"/>
  <c r="BX118" i="15"/>
  <c r="BF122" i="15"/>
  <c r="BE122" i="15"/>
  <c r="AW118" i="15"/>
  <c r="AJ118" i="15"/>
  <c r="W118" i="15"/>
  <c r="FM117" i="15"/>
  <c r="EZ117" i="15"/>
  <c r="EM117" i="15"/>
  <c r="DY117" i="15"/>
  <c r="DL117" i="15"/>
  <c r="CY117" i="15"/>
  <c r="CK117" i="15"/>
  <c r="BX117" i="15"/>
  <c r="BK117" i="15"/>
  <c r="AW117" i="15"/>
  <c r="AJ117" i="15"/>
  <c r="W117" i="15"/>
  <c r="FM116" i="15"/>
  <c r="EZ116" i="15"/>
  <c r="EM116" i="15"/>
  <c r="DY116" i="15"/>
  <c r="DL116" i="15"/>
  <c r="CY116" i="15"/>
  <c r="CK116" i="15"/>
  <c r="BX116" i="15"/>
  <c r="BK116" i="15"/>
  <c r="AW116" i="15"/>
  <c r="AJ116" i="15"/>
  <c r="W116" i="15"/>
  <c r="FM115" i="15"/>
  <c r="EZ115" i="15"/>
  <c r="EM115" i="15"/>
  <c r="DY115" i="15"/>
  <c r="DL115" i="15"/>
  <c r="CY115" i="15"/>
  <c r="CK115" i="15"/>
  <c r="BX115" i="15"/>
  <c r="BK115" i="15"/>
  <c r="AW115" i="15"/>
  <c r="AJ115" i="15"/>
  <c r="W115" i="15"/>
  <c r="FM114" i="15"/>
  <c r="EZ114" i="15"/>
  <c r="EM114" i="15"/>
  <c r="DY114" i="15"/>
  <c r="CY114" i="15"/>
  <c r="CK114" i="15"/>
  <c r="BX114" i="15"/>
  <c r="BK114" i="15"/>
  <c r="AW114" i="15"/>
  <c r="AJ114" i="15"/>
  <c r="W114" i="15"/>
  <c r="FM113" i="15"/>
  <c r="EZ113" i="15"/>
  <c r="EM113" i="15"/>
  <c r="DY113" i="15"/>
  <c r="DL113" i="15"/>
  <c r="CY113" i="15"/>
  <c r="CK113" i="15"/>
  <c r="BX113" i="15"/>
  <c r="BK113" i="15"/>
  <c r="AW113" i="15"/>
  <c r="AJ113" i="15"/>
  <c r="W113" i="15"/>
  <c r="FM112" i="15"/>
  <c r="EZ112" i="15"/>
  <c r="EM112" i="15"/>
  <c r="DY112" i="15"/>
  <c r="CY112" i="15"/>
  <c r="CK112" i="15"/>
  <c r="BX112" i="15"/>
  <c r="BK112" i="15"/>
  <c r="AW112" i="15"/>
  <c r="AJ112" i="15"/>
  <c r="W112" i="15"/>
  <c r="FM111" i="15"/>
  <c r="EZ111" i="15"/>
  <c r="EM111" i="15"/>
  <c r="DY111" i="15"/>
  <c r="DL111" i="15"/>
  <c r="CK111" i="15"/>
  <c r="BX111" i="15"/>
  <c r="BK111" i="15"/>
  <c r="AW111" i="15"/>
  <c r="AJ111" i="15"/>
  <c r="W111" i="15"/>
  <c r="FM110" i="15"/>
  <c r="EZ110" i="15"/>
  <c r="EM110" i="15"/>
  <c r="DY110" i="15"/>
  <c r="DL110" i="15"/>
  <c r="CY110" i="15"/>
  <c r="CK110" i="15"/>
  <c r="BX110" i="15"/>
  <c r="BK110" i="15"/>
  <c r="AW110" i="15"/>
  <c r="AJ110" i="15"/>
  <c r="FM109" i="15"/>
  <c r="EZ109" i="15"/>
  <c r="DY109" i="15"/>
  <c r="CY109" i="15"/>
  <c r="CK109" i="15"/>
  <c r="BX109" i="15"/>
  <c r="BK109" i="15"/>
  <c r="AW109" i="15"/>
  <c r="AJ109" i="15"/>
  <c r="W109" i="15"/>
  <c r="FM108" i="15"/>
  <c r="EZ108" i="15"/>
  <c r="EM108" i="15"/>
  <c r="DY108" i="15"/>
  <c r="DL108" i="15"/>
  <c r="CY108" i="15"/>
  <c r="CK108" i="15"/>
  <c r="BX108" i="15"/>
  <c r="BK108" i="15"/>
  <c r="AW108" i="15"/>
  <c r="AJ108" i="15"/>
  <c r="W108" i="15"/>
  <c r="FM107" i="15"/>
  <c r="EZ107" i="15"/>
  <c r="EM107" i="15"/>
  <c r="DY107" i="15"/>
  <c r="CY107" i="15"/>
  <c r="CK107" i="15"/>
  <c r="BX107" i="15"/>
  <c r="BK107" i="15"/>
  <c r="AW107" i="15"/>
  <c r="AJ107" i="15"/>
  <c r="W107" i="15"/>
  <c r="FM106" i="15"/>
  <c r="EZ106" i="15"/>
  <c r="EM106" i="15"/>
  <c r="DY106" i="15"/>
  <c r="DL106" i="15"/>
  <c r="CY106" i="15"/>
  <c r="CK106" i="15"/>
  <c r="BX106" i="15"/>
  <c r="BK106" i="15"/>
  <c r="AW106" i="15"/>
  <c r="AJ106" i="15"/>
  <c r="W106" i="15"/>
  <c r="FM105" i="15"/>
  <c r="EZ105" i="15"/>
  <c r="EM105" i="15"/>
  <c r="DY105" i="15"/>
  <c r="DL105" i="15"/>
  <c r="CY105" i="15"/>
  <c r="CK105" i="15"/>
  <c r="BX105" i="15"/>
  <c r="BK105" i="15"/>
  <c r="AW105" i="15"/>
  <c r="AJ105" i="15"/>
  <c r="W105" i="15"/>
  <c r="FM104" i="15"/>
  <c r="EZ104" i="15"/>
  <c r="EM104" i="15"/>
  <c r="DY104" i="15"/>
  <c r="CY104" i="15"/>
  <c r="CK104" i="15"/>
  <c r="BX104" i="15"/>
  <c r="BK104" i="15"/>
  <c r="AW104" i="15"/>
  <c r="AJ104" i="15"/>
  <c r="W104" i="15"/>
  <c r="FM103" i="15"/>
  <c r="EZ103" i="15"/>
  <c r="EM103" i="15"/>
  <c r="DY103" i="15"/>
  <c r="CY103" i="15"/>
  <c r="CK103" i="15"/>
  <c r="BX103" i="15"/>
  <c r="BK103" i="15"/>
  <c r="AW103" i="15"/>
  <c r="AJ103" i="15"/>
  <c r="W103" i="15"/>
  <c r="FM102" i="15"/>
  <c r="EZ102" i="15"/>
  <c r="EM102" i="15"/>
  <c r="DY102" i="15"/>
  <c r="DL102" i="15"/>
  <c r="CY102" i="15"/>
  <c r="CK102" i="15"/>
  <c r="BX102" i="15"/>
  <c r="BK102" i="15"/>
  <c r="AW102" i="15"/>
  <c r="AJ102" i="15"/>
  <c r="W102" i="15"/>
  <c r="FM101" i="15"/>
  <c r="EZ101" i="15"/>
  <c r="EM101" i="15"/>
  <c r="DY101" i="15"/>
  <c r="DL101" i="15"/>
  <c r="CY101" i="15"/>
  <c r="CK101" i="15"/>
  <c r="BX101" i="15"/>
  <c r="BK101" i="15"/>
  <c r="AW101" i="15"/>
  <c r="AJ101" i="15"/>
  <c r="W101" i="15"/>
  <c r="FL100" i="15"/>
  <c r="FK100" i="15"/>
  <c r="FJ100" i="15"/>
  <c r="FI100" i="15"/>
  <c r="FH100" i="15"/>
  <c r="FG100" i="15"/>
  <c r="FF100" i="15"/>
  <c r="FE100" i="15"/>
  <c r="FD100" i="15"/>
  <c r="FC100" i="15"/>
  <c r="FB100" i="15"/>
  <c r="FA100" i="15"/>
  <c r="EY100" i="15"/>
  <c r="EX100" i="15"/>
  <c r="EW100" i="15"/>
  <c r="EV100" i="15"/>
  <c r="EU100" i="15"/>
  <c r="ET100" i="15"/>
  <c r="ES100" i="15"/>
  <c r="ER100" i="15"/>
  <c r="EQ100" i="15"/>
  <c r="EP100" i="15"/>
  <c r="EO100" i="15"/>
  <c r="EN100" i="15"/>
  <c r="EL100" i="15"/>
  <c r="EK100" i="15"/>
  <c r="EJ100" i="15"/>
  <c r="EI100" i="15"/>
  <c r="EH100" i="15"/>
  <c r="EG100" i="15"/>
  <c r="EF100" i="15"/>
  <c r="EE100" i="15"/>
  <c r="ED100" i="15"/>
  <c r="EC100" i="15"/>
  <c r="EB100" i="15"/>
  <c r="EA100" i="15"/>
  <c r="DX100" i="15"/>
  <c r="DW100" i="15"/>
  <c r="DV100" i="15"/>
  <c r="DU100" i="15"/>
  <c r="DT100" i="15"/>
  <c r="DS100" i="15"/>
  <c r="DR100" i="15"/>
  <c r="DQ100" i="15"/>
  <c r="DP100" i="15"/>
  <c r="DO100" i="15"/>
  <c r="DN100" i="15"/>
  <c r="DM100" i="15"/>
  <c r="DK100" i="15"/>
  <c r="DJ100" i="15"/>
  <c r="DI100" i="15"/>
  <c r="DH100" i="15"/>
  <c r="DG100" i="15"/>
  <c r="DF100" i="15"/>
  <c r="DD100" i="15"/>
  <c r="DB100" i="15"/>
  <c r="DA100" i="15"/>
  <c r="CZ100" i="15"/>
  <c r="CX100" i="15"/>
  <c r="CW100" i="15"/>
  <c r="CV100" i="15"/>
  <c r="CU100" i="15"/>
  <c r="CT100" i="15"/>
  <c r="CS100" i="15"/>
  <c r="CR100" i="15"/>
  <c r="CQ100" i="15"/>
  <c r="CP100" i="15"/>
  <c r="CO100" i="15"/>
  <c r="CN100" i="15"/>
  <c r="CM100" i="15"/>
  <c r="CJ100" i="15"/>
  <c r="CI100" i="15"/>
  <c r="CH100" i="15"/>
  <c r="CG100" i="15"/>
  <c r="CF100" i="15"/>
  <c r="CE100" i="15"/>
  <c r="CD100" i="15"/>
  <c r="CC100" i="15"/>
  <c r="CB100" i="15"/>
  <c r="CA100" i="15"/>
  <c r="BZ100" i="15"/>
  <c r="BY100" i="15"/>
  <c r="BW100" i="15"/>
  <c r="BV100" i="15"/>
  <c r="BU100" i="15"/>
  <c r="BT100" i="15"/>
  <c r="BS100" i="15"/>
  <c r="BR100" i="15"/>
  <c r="BQ100" i="15"/>
  <c r="BP100" i="15"/>
  <c r="BO100" i="15"/>
  <c r="BN100" i="15"/>
  <c r="BM100" i="15"/>
  <c r="BL100" i="15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K100" i="15"/>
  <c r="AI100" i="15"/>
  <c r="AH100" i="15"/>
  <c r="AG100" i="15"/>
  <c r="AF100" i="15"/>
  <c r="AE100" i="15"/>
  <c r="AD100" i="15"/>
  <c r="AC100" i="15"/>
  <c r="AB100" i="15"/>
  <c r="AA100" i="15"/>
  <c r="Z100" i="15"/>
  <c r="Y100" i="15"/>
  <c r="X100" i="15"/>
  <c r="V100" i="15"/>
  <c r="U100" i="15"/>
  <c r="T100" i="15"/>
  <c r="S100" i="15"/>
  <c r="R100" i="15"/>
  <c r="Q100" i="15"/>
  <c r="P100" i="15"/>
  <c r="M100" i="15"/>
  <c r="L100" i="15"/>
  <c r="K100" i="15"/>
  <c r="FM99" i="15"/>
  <c r="EZ99" i="15"/>
  <c r="EM99" i="15"/>
  <c r="DY99" i="15"/>
  <c r="DL99" i="15"/>
  <c r="CY99" i="15"/>
  <c r="CK99" i="15"/>
  <c r="BX99" i="15"/>
  <c r="BK99" i="15"/>
  <c r="AW99" i="15"/>
  <c r="AJ99" i="15"/>
  <c r="W99" i="15"/>
  <c r="FM98" i="15"/>
  <c r="EZ98" i="15"/>
  <c r="EM98" i="15"/>
  <c r="DY98" i="15"/>
  <c r="DL98" i="15"/>
  <c r="CY98" i="15"/>
  <c r="CK98" i="15"/>
  <c r="BX98" i="15"/>
  <c r="BK98" i="15"/>
  <c r="AW98" i="15"/>
  <c r="AJ98" i="15"/>
  <c r="O100" i="15"/>
  <c r="N100" i="15"/>
  <c r="FM97" i="15"/>
  <c r="EZ97" i="15"/>
  <c r="EM97" i="15"/>
  <c r="DY97" i="15"/>
  <c r="DE100" i="15"/>
  <c r="DC100" i="15"/>
  <c r="CY97" i="15"/>
  <c r="CK97" i="15"/>
  <c r="BX97" i="15"/>
  <c r="BK97" i="15"/>
  <c r="AW97" i="15"/>
  <c r="AJ97" i="15"/>
  <c r="W97" i="15"/>
  <c r="FM96" i="15"/>
  <c r="EZ96" i="15"/>
  <c r="EM96" i="15"/>
  <c r="DY96" i="15"/>
  <c r="DL96" i="15"/>
  <c r="CY96" i="15"/>
  <c r="CK96" i="15"/>
  <c r="BX96" i="15"/>
  <c r="BK96" i="15"/>
  <c r="AW96" i="15"/>
  <c r="AJ96" i="15"/>
  <c r="W96" i="15"/>
  <c r="FL95" i="15"/>
  <c r="FK95" i="15"/>
  <c r="FJ95" i="15"/>
  <c r="FI95" i="15"/>
  <c r="FH95" i="15"/>
  <c r="FG95" i="15"/>
  <c r="FF95" i="15"/>
  <c r="FE95" i="15"/>
  <c r="FD95" i="15"/>
  <c r="FC95" i="15"/>
  <c r="FB95" i="15"/>
  <c r="FA95" i="15"/>
  <c r="EY95" i="15"/>
  <c r="EX95" i="15"/>
  <c r="EW95" i="15"/>
  <c r="EV95" i="15"/>
  <c r="EU95" i="15"/>
  <c r="ET95" i="15"/>
  <c r="ES95" i="15"/>
  <c r="ER95" i="15"/>
  <c r="EQ95" i="15"/>
  <c r="EP95" i="15"/>
  <c r="EO95" i="15"/>
  <c r="EN95" i="15"/>
  <c r="EL95" i="15"/>
  <c r="EK95" i="15"/>
  <c r="EJ95" i="15"/>
  <c r="EI95" i="15"/>
  <c r="EH95" i="15"/>
  <c r="EG95" i="15"/>
  <c r="EF95" i="15"/>
  <c r="EE95" i="15"/>
  <c r="ED95" i="15"/>
  <c r="EC95" i="15"/>
  <c r="EB95" i="15"/>
  <c r="EA95" i="15"/>
  <c r="DX95" i="15"/>
  <c r="DW95" i="15"/>
  <c r="DV95" i="15"/>
  <c r="DU95" i="15"/>
  <c r="DT95" i="15"/>
  <c r="DS95" i="15"/>
  <c r="DR95" i="15"/>
  <c r="DQ95" i="15"/>
  <c r="DP95" i="15"/>
  <c r="DO95" i="15"/>
  <c r="DN95" i="15"/>
  <c r="DM95" i="15"/>
  <c r="DK95" i="15"/>
  <c r="DJ95" i="15"/>
  <c r="DI95" i="15"/>
  <c r="DH95" i="15"/>
  <c r="DG95" i="15"/>
  <c r="DF95" i="15"/>
  <c r="DD95" i="15"/>
  <c r="DB95" i="15"/>
  <c r="DA95" i="15"/>
  <c r="CZ95" i="15"/>
  <c r="CX95" i="15"/>
  <c r="CW95" i="15"/>
  <c r="CV95" i="15"/>
  <c r="CU95" i="15"/>
  <c r="CT95" i="15"/>
  <c r="CS95" i="15"/>
  <c r="CR95" i="15"/>
  <c r="CO95" i="15"/>
  <c r="CN95" i="15"/>
  <c r="CM95" i="15"/>
  <c r="CJ95" i="15"/>
  <c r="CI95" i="15"/>
  <c r="CH95" i="15"/>
  <c r="CG95" i="15"/>
  <c r="CF95" i="15"/>
  <c r="CE95" i="15"/>
  <c r="CD95" i="15"/>
  <c r="CC95" i="15"/>
  <c r="CB95" i="15"/>
  <c r="CA95" i="15"/>
  <c r="BZ95" i="15"/>
  <c r="BY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FM94" i="15"/>
  <c r="EZ94" i="15"/>
  <c r="EM94" i="15"/>
  <c r="DY94" i="15"/>
  <c r="DL94" i="15"/>
  <c r="CY94" i="15"/>
  <c r="CK94" i="15"/>
  <c r="BX94" i="15"/>
  <c r="BK94" i="15"/>
  <c r="AW94" i="15"/>
  <c r="AJ94" i="15"/>
  <c r="W94" i="15"/>
  <c r="FM93" i="15"/>
  <c r="EZ93" i="15"/>
  <c r="EM93" i="15"/>
  <c r="DY93" i="15"/>
  <c r="DL93" i="15"/>
  <c r="CQ95" i="15"/>
  <c r="CY93" i="15"/>
  <c r="CK93" i="15"/>
  <c r="BX93" i="15"/>
  <c r="BK93" i="15"/>
  <c r="AW93" i="15"/>
  <c r="AJ93" i="15"/>
  <c r="W93" i="15"/>
  <c r="FM92" i="15"/>
  <c r="EZ92" i="15"/>
  <c r="EM92" i="15"/>
  <c r="DY92" i="15"/>
  <c r="CY92" i="15"/>
  <c r="CK92" i="15"/>
  <c r="BX92" i="15"/>
  <c r="BK92" i="15"/>
  <c r="AW92" i="15"/>
  <c r="AJ92" i="15"/>
  <c r="W92" i="15"/>
  <c r="FM91" i="15"/>
  <c r="EZ91" i="15"/>
  <c r="EM91" i="15"/>
  <c r="DY91" i="15"/>
  <c r="CY91" i="15"/>
  <c r="CK91" i="15"/>
  <c r="BX91" i="15"/>
  <c r="BK91" i="15"/>
  <c r="AW91" i="15"/>
  <c r="AJ91" i="15"/>
  <c r="W91" i="15"/>
  <c r="FM89" i="15"/>
  <c r="EZ89" i="15"/>
  <c r="EM89" i="15"/>
  <c r="DY89" i="15"/>
  <c r="CY89" i="15"/>
  <c r="CK89" i="15"/>
  <c r="BX89" i="15"/>
  <c r="BK89" i="15"/>
  <c r="AW89" i="15"/>
  <c r="AJ89" i="15"/>
  <c r="W89" i="15"/>
  <c r="FM88" i="15"/>
  <c r="EZ88" i="15"/>
  <c r="EM88" i="15"/>
  <c r="DY88" i="15"/>
  <c r="CY88" i="15"/>
  <c r="CK88" i="15"/>
  <c r="BX88" i="15"/>
  <c r="BK88" i="15"/>
  <c r="AW88" i="15"/>
  <c r="AJ88" i="15"/>
  <c r="W88" i="15"/>
  <c r="FM87" i="15"/>
  <c r="EZ87" i="15"/>
  <c r="EM87" i="15"/>
  <c r="DY87" i="15"/>
  <c r="CY87" i="15"/>
  <c r="CK87" i="15"/>
  <c r="BX87" i="15"/>
  <c r="BK87" i="15"/>
  <c r="AW87" i="15"/>
  <c r="AJ87" i="15"/>
  <c r="W87" i="15"/>
  <c r="FM86" i="15"/>
  <c r="EZ86" i="15"/>
  <c r="EM86" i="15"/>
  <c r="DY86" i="15"/>
  <c r="CY86" i="15"/>
  <c r="CK86" i="15"/>
  <c r="BX86" i="15"/>
  <c r="BK86" i="15"/>
  <c r="AW86" i="15"/>
  <c r="AJ86" i="15"/>
  <c r="W86" i="15"/>
  <c r="FM85" i="15"/>
  <c r="EZ85" i="15"/>
  <c r="EM85" i="15"/>
  <c r="DY85" i="15"/>
  <c r="CY85" i="15"/>
  <c r="CK85" i="15"/>
  <c r="BX85" i="15"/>
  <c r="BK85" i="15"/>
  <c r="AW85" i="15"/>
  <c r="AJ85" i="15"/>
  <c r="W85" i="15"/>
  <c r="FM84" i="15"/>
  <c r="EZ84" i="15"/>
  <c r="EM84" i="15"/>
  <c r="DY84" i="15"/>
  <c r="CY84" i="15"/>
  <c r="CK84" i="15"/>
  <c r="BX84" i="15"/>
  <c r="BK84" i="15"/>
  <c r="AW84" i="15"/>
  <c r="AJ84" i="15"/>
  <c r="W84" i="15"/>
  <c r="FM83" i="15"/>
  <c r="EZ83" i="15"/>
  <c r="EM83" i="15"/>
  <c r="DY83" i="15"/>
  <c r="CY83" i="15"/>
  <c r="CK83" i="15"/>
  <c r="BX83" i="15"/>
  <c r="BK83" i="15"/>
  <c r="AW83" i="15"/>
  <c r="AJ83" i="15"/>
  <c r="W83" i="15"/>
  <c r="FM82" i="15"/>
  <c r="EZ82" i="15"/>
  <c r="EM82" i="15"/>
  <c r="DY82" i="15"/>
  <c r="CY82" i="15"/>
  <c r="CK82" i="15"/>
  <c r="BX82" i="15"/>
  <c r="BK82" i="15"/>
  <c r="AW82" i="15"/>
  <c r="AJ82" i="15"/>
  <c r="W82" i="15"/>
  <c r="FM81" i="15"/>
  <c r="EZ81" i="15"/>
  <c r="EM81" i="15"/>
  <c r="DY81" i="15"/>
  <c r="CY81" i="15"/>
  <c r="CK81" i="15"/>
  <c r="BX81" i="15"/>
  <c r="BK81" i="15"/>
  <c r="AW81" i="15"/>
  <c r="AJ81" i="15"/>
  <c r="W81" i="15"/>
  <c r="FM80" i="15"/>
  <c r="EZ80" i="15"/>
  <c r="EM80" i="15"/>
  <c r="DY80" i="15"/>
  <c r="CY80" i="15"/>
  <c r="CK80" i="15"/>
  <c r="BX80" i="15"/>
  <c r="BK80" i="15"/>
  <c r="AW80" i="15"/>
  <c r="AJ80" i="15"/>
  <c r="W80" i="15"/>
  <c r="FM79" i="15"/>
  <c r="EZ79" i="15"/>
  <c r="EM79" i="15"/>
  <c r="DY79" i="15"/>
  <c r="CY79" i="15"/>
  <c r="CK79" i="15"/>
  <c r="BX79" i="15"/>
  <c r="BK79" i="15"/>
  <c r="AW79" i="15"/>
  <c r="AJ79" i="15"/>
  <c r="W79" i="15"/>
  <c r="FM78" i="15"/>
  <c r="EZ78" i="15"/>
  <c r="EM78" i="15"/>
  <c r="DY78" i="15"/>
  <c r="CY78" i="15"/>
  <c r="CK78" i="15"/>
  <c r="BX78" i="15"/>
  <c r="BK78" i="15"/>
  <c r="AW78" i="15"/>
  <c r="AJ78" i="15"/>
  <c r="W78" i="15"/>
  <c r="FM77" i="15"/>
  <c r="EZ77" i="15"/>
  <c r="EM77" i="15"/>
  <c r="DY77" i="15"/>
  <c r="CY77" i="15"/>
  <c r="CK77" i="15"/>
  <c r="BX77" i="15"/>
  <c r="BK77" i="15"/>
  <c r="AW77" i="15"/>
  <c r="AJ77" i="15"/>
  <c r="W77" i="15"/>
  <c r="FM76" i="15"/>
  <c r="EZ76" i="15"/>
  <c r="EM76" i="15"/>
  <c r="DY76" i="15"/>
  <c r="CY76" i="15"/>
  <c r="CK76" i="15"/>
  <c r="BX76" i="15"/>
  <c r="BK76" i="15"/>
  <c r="AW76" i="15"/>
  <c r="AJ76" i="15"/>
  <c r="W76" i="15"/>
  <c r="FM75" i="15"/>
  <c r="EZ75" i="15"/>
  <c r="EM75" i="15"/>
  <c r="DY75" i="15"/>
  <c r="DC95" i="15"/>
  <c r="CY75" i="15"/>
  <c r="CK75" i="15"/>
  <c r="BX75" i="15"/>
  <c r="BK75" i="15"/>
  <c r="AW75" i="15"/>
  <c r="AJ75" i="15"/>
  <c r="W75" i="15"/>
  <c r="FM74" i="15"/>
  <c r="EZ74" i="15"/>
  <c r="EM74" i="15"/>
  <c r="DY74" i="15"/>
  <c r="DL74" i="15"/>
  <c r="CY74" i="15"/>
  <c r="CK74" i="15"/>
  <c r="BX74" i="15"/>
  <c r="BK74" i="15"/>
  <c r="AW74" i="15"/>
  <c r="AJ74" i="15"/>
  <c r="W74" i="15"/>
  <c r="FL73" i="15"/>
  <c r="FK73" i="15"/>
  <c r="FJ73" i="15"/>
  <c r="FI73" i="15"/>
  <c r="FH73" i="15"/>
  <c r="FG73" i="15"/>
  <c r="FF73" i="15"/>
  <c r="FE73" i="15"/>
  <c r="FD73" i="15"/>
  <c r="FC73" i="15"/>
  <c r="FB73" i="15"/>
  <c r="FA73" i="15"/>
  <c r="EY73" i="15"/>
  <c r="EX73" i="15"/>
  <c r="EW73" i="15"/>
  <c r="EV73" i="15"/>
  <c r="EU73" i="15"/>
  <c r="ET73" i="15"/>
  <c r="ES73" i="15"/>
  <c r="ER73" i="15"/>
  <c r="EQ73" i="15"/>
  <c r="EP73" i="15"/>
  <c r="EO73" i="15"/>
  <c r="EN73" i="15"/>
  <c r="EL73" i="15"/>
  <c r="EK73" i="15"/>
  <c r="EJ73" i="15"/>
  <c r="EI73" i="15"/>
  <c r="EH73" i="15"/>
  <c r="EG73" i="15"/>
  <c r="EF73" i="15"/>
  <c r="EE73" i="15"/>
  <c r="ED73" i="15"/>
  <c r="EC73" i="15"/>
  <c r="DX73" i="15"/>
  <c r="DW73" i="15"/>
  <c r="DV73" i="15"/>
  <c r="DU73" i="15"/>
  <c r="DT73" i="15"/>
  <c r="DS73" i="15"/>
  <c r="DR73" i="15"/>
  <c r="DQ73" i="15"/>
  <c r="DP73" i="15"/>
  <c r="DO73" i="15"/>
  <c r="DN73" i="15"/>
  <c r="DM73" i="15"/>
  <c r="DK73" i="15"/>
  <c r="DJ73" i="15"/>
  <c r="DI73" i="15"/>
  <c r="DH73" i="15"/>
  <c r="DG73" i="15"/>
  <c r="DF73" i="15"/>
  <c r="DA73" i="15"/>
  <c r="CX73" i="15"/>
  <c r="CW73" i="15"/>
  <c r="CV73" i="15"/>
  <c r="CU73" i="15"/>
  <c r="CT73" i="15"/>
  <c r="CS73" i="15"/>
  <c r="CR73" i="15"/>
  <c r="CQ73" i="15"/>
  <c r="CP73" i="15"/>
  <c r="CO73" i="15"/>
  <c r="CN73" i="15"/>
  <c r="CM73" i="15"/>
  <c r="CJ73" i="15"/>
  <c r="CI73" i="15"/>
  <c r="CH73" i="15"/>
  <c r="CG73" i="15"/>
  <c r="CF73" i="15"/>
  <c r="CE73" i="15"/>
  <c r="CD73" i="15"/>
  <c r="CC73" i="15"/>
  <c r="CB73" i="15"/>
  <c r="CA73" i="15"/>
  <c r="BZ73" i="15"/>
  <c r="BY73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V73" i="15"/>
  <c r="U73" i="15"/>
  <c r="T73" i="15"/>
  <c r="S73" i="15"/>
  <c r="R73" i="15"/>
  <c r="Q73" i="15"/>
  <c r="P73" i="15"/>
  <c r="O73" i="15"/>
  <c r="N73" i="15"/>
  <c r="M73" i="15"/>
  <c r="L73" i="15"/>
  <c r="FM72" i="15"/>
  <c r="EZ72" i="15"/>
  <c r="EM72" i="15"/>
  <c r="DY72" i="15"/>
  <c r="DL72" i="15"/>
  <c r="CY72" i="15"/>
  <c r="CK72" i="15"/>
  <c r="BX72" i="15"/>
  <c r="BK72" i="15"/>
  <c r="AW72" i="15"/>
  <c r="AJ72" i="15"/>
  <c r="FM65" i="15"/>
  <c r="EZ65" i="15"/>
  <c r="EB73" i="15"/>
  <c r="EA73" i="15"/>
  <c r="DY65" i="15"/>
  <c r="DL65" i="15"/>
  <c r="CY65" i="15"/>
  <c r="CK65" i="15"/>
  <c r="BX65" i="15"/>
  <c r="AW65" i="15"/>
  <c r="AX65" i="15" s="1"/>
  <c r="FM64" i="15"/>
  <c r="EZ64" i="15"/>
  <c r="EM64" i="15"/>
  <c r="DY64" i="15"/>
  <c r="DL64" i="15"/>
  <c r="CY64" i="15"/>
  <c r="CK64" i="15"/>
  <c r="BX64" i="15"/>
  <c r="BK64" i="15"/>
  <c r="AW64" i="15"/>
  <c r="AJ64" i="15"/>
  <c r="W64" i="15"/>
  <c r="FM63" i="15"/>
  <c r="EZ63" i="15"/>
  <c r="EM63" i="15"/>
  <c r="DY63" i="15"/>
  <c r="DL63" i="15"/>
  <c r="CY63" i="15"/>
  <c r="CK63" i="15"/>
  <c r="BX63" i="15"/>
  <c r="BK63" i="15"/>
  <c r="AW63" i="15"/>
  <c r="AJ63" i="15"/>
  <c r="W63" i="15"/>
  <c r="FM62" i="15"/>
  <c r="EZ62" i="15"/>
  <c r="EM62" i="15"/>
  <c r="DY62" i="15"/>
  <c r="DL62" i="15"/>
  <c r="CY62" i="15"/>
  <c r="CK62" i="15"/>
  <c r="BX62" i="15"/>
  <c r="BK62" i="15"/>
  <c r="AW62" i="15"/>
  <c r="AJ62" i="15"/>
  <c r="W62" i="15"/>
  <c r="FM61" i="15"/>
  <c r="EZ61" i="15"/>
  <c r="EM61" i="15"/>
  <c r="DY61" i="15"/>
  <c r="CY61" i="15"/>
  <c r="CK61" i="15"/>
  <c r="BX61" i="15"/>
  <c r="BK61" i="15"/>
  <c r="AW61" i="15"/>
  <c r="AJ61" i="15"/>
  <c r="W61" i="15"/>
  <c r="FM60" i="15"/>
  <c r="EZ60" i="15"/>
  <c r="EM60" i="15"/>
  <c r="DY60" i="15"/>
  <c r="DL60" i="15"/>
  <c r="CY60" i="15"/>
  <c r="CK60" i="15"/>
  <c r="BX60" i="15"/>
  <c r="BK60" i="15"/>
  <c r="AW60" i="15"/>
  <c r="AJ60" i="15"/>
  <c r="W60" i="15"/>
  <c r="FM59" i="15"/>
  <c r="EZ59" i="15"/>
  <c r="EM59" i="15"/>
  <c r="DY59" i="15"/>
  <c r="DL59" i="15"/>
  <c r="CY59" i="15"/>
  <c r="CK59" i="15"/>
  <c r="BX59" i="15"/>
  <c r="BK59" i="15"/>
  <c r="AW59" i="15"/>
  <c r="AJ59" i="15"/>
  <c r="W59" i="15"/>
  <c r="FM58" i="15"/>
  <c r="EZ58" i="15"/>
  <c r="EM58" i="15"/>
  <c r="DY58" i="15"/>
  <c r="DL58" i="15"/>
  <c r="CY58" i="15"/>
  <c r="CK58" i="15"/>
  <c r="BX58" i="15"/>
  <c r="BK58" i="15"/>
  <c r="AW58" i="15"/>
  <c r="AJ58" i="15"/>
  <c r="W58" i="15"/>
  <c r="FM57" i="15"/>
  <c r="EZ57" i="15"/>
  <c r="EM57" i="15"/>
  <c r="DY57" i="15"/>
  <c r="CY57" i="15"/>
  <c r="CK57" i="15"/>
  <c r="BX57" i="15"/>
  <c r="BK57" i="15"/>
  <c r="AW57" i="15"/>
  <c r="AJ57" i="15"/>
  <c r="W57" i="15"/>
  <c r="FM56" i="15"/>
  <c r="EZ56" i="15"/>
  <c r="EM56" i="15"/>
  <c r="DY56" i="15"/>
  <c r="DL56" i="15"/>
  <c r="CY56" i="15"/>
  <c r="CK56" i="15"/>
  <c r="BX56" i="15"/>
  <c r="BK56" i="15"/>
  <c r="AW56" i="15"/>
  <c r="AJ56" i="15"/>
  <c r="W56" i="15"/>
  <c r="FM55" i="15"/>
  <c r="EZ55" i="15"/>
  <c r="EM55" i="15"/>
  <c r="DY55" i="15"/>
  <c r="CY55" i="15"/>
  <c r="CK55" i="15"/>
  <c r="BX55" i="15"/>
  <c r="BK55" i="15"/>
  <c r="AW55" i="15"/>
  <c r="AJ55" i="15"/>
  <c r="W55" i="15"/>
  <c r="FM54" i="15"/>
  <c r="EZ54" i="15"/>
  <c r="EM54" i="15"/>
  <c r="DY54" i="15"/>
  <c r="DL54" i="15"/>
  <c r="CY54" i="15"/>
  <c r="CK54" i="15"/>
  <c r="BX54" i="15"/>
  <c r="BK54" i="15"/>
  <c r="AW54" i="15"/>
  <c r="AJ54" i="15"/>
  <c r="W54" i="15"/>
  <c r="FM53" i="15"/>
  <c r="EZ53" i="15"/>
  <c r="EM53" i="15"/>
  <c r="DY53" i="15"/>
  <c r="CY53" i="15"/>
  <c r="CK53" i="15"/>
  <c r="BX53" i="15"/>
  <c r="BK53" i="15"/>
  <c r="AW53" i="15"/>
  <c r="AJ53" i="15"/>
  <c r="W53" i="15"/>
  <c r="FM52" i="15"/>
  <c r="EZ52" i="15"/>
  <c r="EM52" i="15"/>
  <c r="DY52" i="15"/>
  <c r="DL52" i="15"/>
  <c r="CY52" i="15"/>
  <c r="CK52" i="15"/>
  <c r="BX52" i="15"/>
  <c r="BK52" i="15"/>
  <c r="AW52" i="15"/>
  <c r="AJ52" i="15"/>
  <c r="W52" i="15"/>
  <c r="FM51" i="15"/>
  <c r="EZ51" i="15"/>
  <c r="EM51" i="15"/>
  <c r="DY51" i="15"/>
  <c r="DL51" i="15"/>
  <c r="CY51" i="15"/>
  <c r="CK51" i="15"/>
  <c r="BX51" i="15"/>
  <c r="BK51" i="15"/>
  <c r="AW51" i="15"/>
  <c r="AJ51" i="15"/>
  <c r="W51" i="15"/>
  <c r="FM50" i="15"/>
  <c r="EZ50" i="15"/>
  <c r="EM50" i="15"/>
  <c r="DY50" i="15"/>
  <c r="CY50" i="15"/>
  <c r="CK50" i="15"/>
  <c r="BX50" i="15"/>
  <c r="BK50" i="15"/>
  <c r="AW50" i="15"/>
  <c r="AJ50" i="15"/>
  <c r="W50" i="15"/>
  <c r="FM49" i="15"/>
  <c r="EZ49" i="15"/>
  <c r="EM49" i="15"/>
  <c r="DY49" i="15"/>
  <c r="CY49" i="15"/>
  <c r="CK49" i="15"/>
  <c r="BX49" i="15"/>
  <c r="BK49" i="15"/>
  <c r="AW49" i="15"/>
  <c r="AJ49" i="15"/>
  <c r="W49" i="15"/>
  <c r="FM48" i="15"/>
  <c r="EZ48" i="15"/>
  <c r="EM48" i="15"/>
  <c r="DY48" i="15"/>
  <c r="DL48" i="15"/>
  <c r="CY48" i="15"/>
  <c r="CK48" i="15"/>
  <c r="BX48" i="15"/>
  <c r="BK48" i="15"/>
  <c r="AW48" i="15"/>
  <c r="AJ48" i="15"/>
  <c r="W48" i="15"/>
  <c r="FM47" i="15"/>
  <c r="EZ47" i="15"/>
  <c r="EM47" i="15"/>
  <c r="DY47" i="15"/>
  <c r="DL47" i="15"/>
  <c r="CY47" i="15"/>
  <c r="CK47" i="15"/>
  <c r="BX47" i="15"/>
  <c r="BK47" i="15"/>
  <c r="AW47" i="15"/>
  <c r="AJ47" i="15"/>
  <c r="W47" i="15"/>
  <c r="FM46" i="15"/>
  <c r="EZ46" i="15"/>
  <c r="EM46" i="15"/>
  <c r="DY46" i="15"/>
  <c r="CY46" i="15"/>
  <c r="CK46" i="15"/>
  <c r="BX46" i="15"/>
  <c r="BK46" i="15"/>
  <c r="AW46" i="15"/>
  <c r="AJ46" i="15"/>
  <c r="W46" i="15"/>
  <c r="FM45" i="15"/>
  <c r="EZ45" i="15"/>
  <c r="EM45" i="15"/>
  <c r="DY45" i="15"/>
  <c r="DL45" i="15"/>
  <c r="CY45" i="15"/>
  <c r="CK45" i="15"/>
  <c r="BX45" i="15"/>
  <c r="BK45" i="15"/>
  <c r="AW45" i="15"/>
  <c r="AJ45" i="15"/>
  <c r="W45" i="15"/>
  <c r="FM44" i="15"/>
  <c r="EZ44" i="15"/>
  <c r="EM44" i="15"/>
  <c r="DY44" i="15"/>
  <c r="DL44" i="15"/>
  <c r="CY44" i="15"/>
  <c r="CK44" i="15"/>
  <c r="BX44" i="15"/>
  <c r="BK44" i="15"/>
  <c r="AW44" i="15"/>
  <c r="AJ44" i="15"/>
  <c r="W44" i="15"/>
  <c r="FM43" i="15"/>
  <c r="EZ43" i="15"/>
  <c r="EM43" i="15"/>
  <c r="DY43" i="15"/>
  <c r="CY43" i="15"/>
  <c r="CK43" i="15"/>
  <c r="BX43" i="15"/>
  <c r="BK43" i="15"/>
  <c r="AW43" i="15"/>
  <c r="AJ43" i="15"/>
  <c r="W43" i="15"/>
  <c r="FM42" i="15"/>
  <c r="EZ42" i="15"/>
  <c r="EM42" i="15"/>
  <c r="DY42" i="15"/>
  <c r="DL42" i="15"/>
  <c r="CY42" i="15"/>
  <c r="CK42" i="15"/>
  <c r="BX42" i="15"/>
  <c r="BK42" i="15"/>
  <c r="AW42" i="15"/>
  <c r="AJ42" i="15"/>
  <c r="W42" i="15"/>
  <c r="FM41" i="15"/>
  <c r="EZ41" i="15"/>
  <c r="EM41" i="15"/>
  <c r="DY41" i="15"/>
  <c r="CY41" i="15"/>
  <c r="CK41" i="15"/>
  <c r="BX41" i="15"/>
  <c r="BK41" i="15"/>
  <c r="AW41" i="15"/>
  <c r="AJ41" i="15"/>
  <c r="W41" i="15"/>
  <c r="FM40" i="15"/>
  <c r="EZ40" i="15"/>
  <c r="EM40" i="15"/>
  <c r="DY40" i="15"/>
  <c r="CY40" i="15"/>
  <c r="CK40" i="15"/>
  <c r="BX40" i="15"/>
  <c r="BK40" i="15"/>
  <c r="AW40" i="15"/>
  <c r="AJ40" i="15"/>
  <c r="W40" i="15"/>
  <c r="FM39" i="15"/>
  <c r="EZ39" i="15"/>
  <c r="EM39" i="15"/>
  <c r="DY39" i="15"/>
  <c r="DL39" i="15"/>
  <c r="CY39" i="15"/>
  <c r="CK39" i="15"/>
  <c r="BX39" i="15"/>
  <c r="BK39" i="15"/>
  <c r="AW39" i="15"/>
  <c r="AJ39" i="15"/>
  <c r="W39" i="15"/>
  <c r="FM38" i="15"/>
  <c r="EZ38" i="15"/>
  <c r="EM38" i="15"/>
  <c r="DY38" i="15"/>
  <c r="CY38" i="15"/>
  <c r="CK38" i="15"/>
  <c r="BX38" i="15"/>
  <c r="BK38" i="15"/>
  <c r="AW38" i="15"/>
  <c r="AJ38" i="15"/>
  <c r="W38" i="15"/>
  <c r="FM37" i="15"/>
  <c r="EZ37" i="15"/>
  <c r="EM37" i="15"/>
  <c r="DY37" i="15"/>
  <c r="DL37" i="15"/>
  <c r="CY37" i="15"/>
  <c r="CK37" i="15"/>
  <c r="BX37" i="15"/>
  <c r="BK37" i="15"/>
  <c r="AW37" i="15"/>
  <c r="AJ37" i="15"/>
  <c r="W37" i="15"/>
  <c r="FM36" i="15"/>
  <c r="EZ36" i="15"/>
  <c r="EM36" i="15"/>
  <c r="DY36" i="15"/>
  <c r="DL36" i="15"/>
  <c r="CY36" i="15"/>
  <c r="CK36" i="15"/>
  <c r="BX36" i="15"/>
  <c r="BK36" i="15"/>
  <c r="AW36" i="15"/>
  <c r="AJ36" i="15"/>
  <c r="W36" i="15"/>
  <c r="FM35" i="15"/>
  <c r="EZ35" i="15"/>
  <c r="EM35" i="15"/>
  <c r="DY35" i="15"/>
  <c r="DL35" i="15"/>
  <c r="CY35" i="15"/>
  <c r="CK35" i="15"/>
  <c r="BX35" i="15"/>
  <c r="BK35" i="15"/>
  <c r="AW35" i="15"/>
  <c r="AJ35" i="15"/>
  <c r="W35" i="15"/>
  <c r="FM34" i="15"/>
  <c r="EZ34" i="15"/>
  <c r="EM34" i="15"/>
  <c r="DY34" i="15"/>
  <c r="CY34" i="15"/>
  <c r="CK34" i="15"/>
  <c r="BX34" i="15"/>
  <c r="BK34" i="15"/>
  <c r="AW34" i="15"/>
  <c r="AJ34" i="15"/>
  <c r="W34" i="15"/>
  <c r="FM33" i="15"/>
  <c r="EZ33" i="15"/>
  <c r="EM33" i="15"/>
  <c r="DY33" i="15"/>
  <c r="CY33" i="15"/>
  <c r="CK33" i="15"/>
  <c r="BX33" i="15"/>
  <c r="BK33" i="15"/>
  <c r="AW33" i="15"/>
  <c r="AJ33" i="15"/>
  <c r="W33" i="15"/>
  <c r="FM32" i="15"/>
  <c r="EZ32" i="15"/>
  <c r="EM32" i="15"/>
  <c r="DY32" i="15"/>
  <c r="CY32" i="15"/>
  <c r="CK32" i="15"/>
  <c r="BX32" i="15"/>
  <c r="BK32" i="15"/>
  <c r="AW32" i="15"/>
  <c r="AJ32" i="15"/>
  <c r="W32" i="15"/>
  <c r="FM31" i="15"/>
  <c r="EZ31" i="15"/>
  <c r="EM31" i="15"/>
  <c r="DY31" i="15"/>
  <c r="CY31" i="15"/>
  <c r="CK31" i="15"/>
  <c r="BX31" i="15"/>
  <c r="BK31" i="15"/>
  <c r="AW31" i="15"/>
  <c r="AJ31" i="15"/>
  <c r="W31" i="15"/>
  <c r="FM30" i="15"/>
  <c r="EZ30" i="15"/>
  <c r="EM30" i="15"/>
  <c r="DY30" i="15"/>
  <c r="CY30" i="15"/>
  <c r="CK30" i="15"/>
  <c r="BX30" i="15"/>
  <c r="BK30" i="15"/>
  <c r="AW30" i="15"/>
  <c r="AJ30" i="15"/>
  <c r="W30" i="15"/>
  <c r="FM29" i="15"/>
  <c r="EZ29" i="15"/>
  <c r="EM29" i="15"/>
  <c r="DY29" i="15"/>
  <c r="CY29" i="15"/>
  <c r="CK29" i="15"/>
  <c r="BX29" i="15"/>
  <c r="BK29" i="15"/>
  <c r="AW29" i="15"/>
  <c r="AJ29" i="15"/>
  <c r="W29" i="15"/>
  <c r="FM28" i="15"/>
  <c r="EZ28" i="15"/>
  <c r="EM28" i="15"/>
  <c r="DY28" i="15"/>
  <c r="DB73" i="15"/>
  <c r="CY28" i="15"/>
  <c r="CK28" i="15"/>
  <c r="BX28" i="15"/>
  <c r="BK28" i="15"/>
  <c r="AW28" i="15"/>
  <c r="AJ28" i="15"/>
  <c r="W28" i="15"/>
  <c r="FM27" i="15"/>
  <c r="EZ27" i="15"/>
  <c r="EM27" i="15"/>
  <c r="DY27" i="15"/>
  <c r="CY27" i="15"/>
  <c r="CK27" i="15"/>
  <c r="BX27" i="15"/>
  <c r="BK27" i="15"/>
  <c r="AW27" i="15"/>
  <c r="AJ27" i="15"/>
  <c r="W27" i="15"/>
  <c r="FM26" i="15"/>
  <c r="EZ26" i="15"/>
  <c r="EM26" i="15"/>
  <c r="DY26" i="15"/>
  <c r="DL26" i="15"/>
  <c r="CY26" i="15"/>
  <c r="CK26" i="15"/>
  <c r="BX26" i="15"/>
  <c r="BK26" i="15"/>
  <c r="AW26" i="15"/>
  <c r="AJ26" i="15"/>
  <c r="W26" i="15"/>
  <c r="FL25" i="15"/>
  <c r="FK25" i="15"/>
  <c r="FJ25" i="15"/>
  <c r="FI25" i="15"/>
  <c r="FH25" i="15"/>
  <c r="FG25" i="15"/>
  <c r="FF25" i="15"/>
  <c r="FE25" i="15"/>
  <c r="FD25" i="15"/>
  <c r="FC25" i="15"/>
  <c r="FB25" i="15"/>
  <c r="FA25" i="15"/>
  <c r="EY25" i="15"/>
  <c r="EX25" i="15"/>
  <c r="EW25" i="15"/>
  <c r="EV25" i="15"/>
  <c r="EU25" i="15"/>
  <c r="ET25" i="15"/>
  <c r="ES25" i="15"/>
  <c r="ER25" i="15"/>
  <c r="EQ25" i="15"/>
  <c r="EP25" i="15"/>
  <c r="EO25" i="15"/>
  <c r="EN25" i="15"/>
  <c r="EL25" i="15"/>
  <c r="EK25" i="15"/>
  <c r="EJ25" i="15"/>
  <c r="EI25" i="15"/>
  <c r="EF25" i="15"/>
  <c r="EE25" i="15"/>
  <c r="ED25" i="15"/>
  <c r="EC25" i="15"/>
  <c r="EB25" i="15"/>
  <c r="EA25" i="15"/>
  <c r="DX25" i="15"/>
  <c r="DW25" i="15"/>
  <c r="DV25" i="15"/>
  <c r="DU25" i="15"/>
  <c r="DT25" i="15"/>
  <c r="DS25" i="15"/>
  <c r="DR25" i="15"/>
  <c r="DQ25" i="15"/>
  <c r="DP25" i="15"/>
  <c r="DO25" i="15"/>
  <c r="DN25" i="15"/>
  <c r="DM25" i="15"/>
  <c r="DJ25" i="15"/>
  <c r="DG25" i="15"/>
  <c r="DE25" i="15"/>
  <c r="DD25" i="15"/>
  <c r="DC25" i="15"/>
  <c r="DB25" i="15"/>
  <c r="DA25" i="15"/>
  <c r="CZ25" i="15"/>
  <c r="CX25" i="15"/>
  <c r="CW25" i="15"/>
  <c r="CV25" i="15"/>
  <c r="CU25" i="15"/>
  <c r="CR25" i="15"/>
  <c r="CQ25" i="15"/>
  <c r="CP25" i="15"/>
  <c r="CO25" i="15"/>
  <c r="CN25" i="15"/>
  <c r="CM25" i="15"/>
  <c r="CJ25" i="15"/>
  <c r="CI25" i="15"/>
  <c r="CH25" i="15"/>
  <c r="CG25" i="15"/>
  <c r="CF25" i="15"/>
  <c r="CE25" i="15"/>
  <c r="CD25" i="15"/>
  <c r="CC25" i="15"/>
  <c r="CB25" i="15"/>
  <c r="CA25" i="15"/>
  <c r="BZ25" i="15"/>
  <c r="BY25" i="15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V25" i="15"/>
  <c r="AU25" i="15"/>
  <c r="AU153" i="15" s="1"/>
  <c r="AT25" i="15"/>
  <c r="AS25" i="15"/>
  <c r="AR25" i="15"/>
  <c r="AQ25" i="15"/>
  <c r="AP25" i="15"/>
  <c r="AO25" i="15"/>
  <c r="AO153" i="15" s="1"/>
  <c r="AN25" i="15"/>
  <c r="AM25" i="15"/>
  <c r="AL25" i="15"/>
  <c r="AK25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V25" i="15"/>
  <c r="U25" i="15"/>
  <c r="T25" i="15"/>
  <c r="S25" i="15"/>
  <c r="R25" i="15"/>
  <c r="Q25" i="15"/>
  <c r="P25" i="15"/>
  <c r="O25" i="15"/>
  <c r="O153" i="15" s="1"/>
  <c r="N25" i="15"/>
  <c r="M25" i="15"/>
  <c r="L25" i="15"/>
  <c r="K25" i="15"/>
  <c r="FM24" i="15"/>
  <c r="EZ24" i="15"/>
  <c r="EM24" i="15"/>
  <c r="DY24" i="15"/>
  <c r="DL24" i="15"/>
  <c r="CY24" i="15"/>
  <c r="CK24" i="15"/>
  <c r="BX24" i="15"/>
  <c r="BK24" i="15"/>
  <c r="AW24" i="15"/>
  <c r="AJ24" i="15"/>
  <c r="W24" i="15"/>
  <c r="FM22" i="15"/>
  <c r="EZ22" i="15"/>
  <c r="EH25" i="15"/>
  <c r="EG25" i="15"/>
  <c r="DY22" i="15"/>
  <c r="DL22" i="15"/>
  <c r="CY22" i="15"/>
  <c r="CK22" i="15"/>
  <c r="BX22" i="15"/>
  <c r="BK22" i="15"/>
  <c r="AW22" i="15"/>
  <c r="AJ22" i="15"/>
  <c r="W22" i="15"/>
  <c r="FM20" i="15"/>
  <c r="EZ20" i="15"/>
  <c r="EM20" i="15"/>
  <c r="DY20" i="15"/>
  <c r="DL20" i="15"/>
  <c r="CT25" i="15"/>
  <c r="CS25" i="15"/>
  <c r="CK20" i="15"/>
  <c r="BX20" i="15"/>
  <c r="BK20" i="15"/>
  <c r="AW20" i="15"/>
  <c r="AJ20" i="15"/>
  <c r="FM21" i="15"/>
  <c r="EZ21" i="15"/>
  <c r="EM21" i="15"/>
  <c r="DY21" i="15"/>
  <c r="DL21" i="15"/>
  <c r="CY21" i="15"/>
  <c r="CK21" i="15"/>
  <c r="BX21" i="15"/>
  <c r="BK21" i="15"/>
  <c r="AW21" i="15"/>
  <c r="AJ21" i="15"/>
  <c r="W21" i="15"/>
  <c r="FM19" i="15"/>
  <c r="EZ19" i="15"/>
  <c r="EM19" i="15"/>
  <c r="DY19" i="15"/>
  <c r="CY19" i="15"/>
  <c r="CK19" i="15"/>
  <c r="BX19" i="15"/>
  <c r="BK19" i="15"/>
  <c r="AW19" i="15"/>
  <c r="AJ19" i="15"/>
  <c r="FM18" i="15"/>
  <c r="EZ18" i="15"/>
  <c r="EM18" i="15"/>
  <c r="DY18" i="15"/>
  <c r="DL18" i="15"/>
  <c r="CY18" i="15"/>
  <c r="CK18" i="15"/>
  <c r="BX18" i="15"/>
  <c r="BK18" i="15"/>
  <c r="AW18" i="15"/>
  <c r="AJ18" i="15"/>
  <c r="W18" i="15"/>
  <c r="FM17" i="15"/>
  <c r="EZ17" i="15"/>
  <c r="EM17" i="15"/>
  <c r="DY17" i="15"/>
  <c r="CY17" i="15"/>
  <c r="CK17" i="15"/>
  <c r="BX17" i="15"/>
  <c r="BK17" i="15"/>
  <c r="AW17" i="15"/>
  <c r="AJ17" i="15"/>
  <c r="W17" i="15"/>
  <c r="FM16" i="15"/>
  <c r="EZ16" i="15"/>
  <c r="EM16" i="15"/>
  <c r="DY16" i="15"/>
  <c r="DL16" i="15"/>
  <c r="CY16" i="15"/>
  <c r="CK16" i="15"/>
  <c r="BX16" i="15"/>
  <c r="BK16" i="15"/>
  <c r="AW16" i="15"/>
  <c r="AJ16" i="15"/>
  <c r="W16" i="15"/>
  <c r="FM15" i="15"/>
  <c r="EZ15" i="15"/>
  <c r="EM15" i="15"/>
  <c r="DY15" i="15"/>
  <c r="DL15" i="15"/>
  <c r="CY15" i="15"/>
  <c r="CK15" i="15"/>
  <c r="BX15" i="15"/>
  <c r="BK15" i="15"/>
  <c r="AW15" i="15"/>
  <c r="AJ15" i="15"/>
  <c r="W15" i="15"/>
  <c r="FM14" i="15"/>
  <c r="EZ14" i="15"/>
  <c r="EM14" i="15"/>
  <c r="DY14" i="15"/>
  <c r="DL14" i="15"/>
  <c r="CY14" i="15"/>
  <c r="CK14" i="15"/>
  <c r="BX14" i="15"/>
  <c r="BK14" i="15"/>
  <c r="AW14" i="15"/>
  <c r="AJ14" i="15"/>
  <c r="W14" i="15"/>
  <c r="FM13" i="15"/>
  <c r="EZ13" i="15"/>
  <c r="EM13" i="15"/>
  <c r="DY13" i="15"/>
  <c r="DL13" i="15"/>
  <c r="CY13" i="15"/>
  <c r="CK13" i="15"/>
  <c r="BX13" i="15"/>
  <c r="BK13" i="15"/>
  <c r="AW13" i="15"/>
  <c r="AJ13" i="15"/>
  <c r="W13" i="15"/>
  <c r="FM12" i="15"/>
  <c r="EZ12" i="15"/>
  <c r="EM12" i="15"/>
  <c r="DY12" i="15"/>
  <c r="DL12" i="15"/>
  <c r="CY12" i="15"/>
  <c r="CK12" i="15"/>
  <c r="BX12" i="15"/>
  <c r="BK12" i="15"/>
  <c r="AW12" i="15"/>
  <c r="AJ12" i="15"/>
  <c r="W12" i="15"/>
  <c r="FM11" i="15"/>
  <c r="EZ11" i="15"/>
  <c r="EM11" i="15"/>
  <c r="DY11" i="15"/>
  <c r="CY11" i="15"/>
  <c r="CK11" i="15"/>
  <c r="BX11" i="15"/>
  <c r="BK11" i="15"/>
  <c r="AW11" i="15"/>
  <c r="AJ11" i="15"/>
  <c r="W11" i="15"/>
  <c r="FM10" i="15"/>
  <c r="EZ10" i="15"/>
  <c r="EM10" i="15"/>
  <c r="DY10" i="15"/>
  <c r="DL10" i="15"/>
  <c r="CY10" i="15"/>
  <c r="CK10" i="15"/>
  <c r="BX10" i="15"/>
  <c r="BK10" i="15"/>
  <c r="AW10" i="15"/>
  <c r="AJ10" i="15"/>
  <c r="W10" i="15"/>
  <c r="FM9" i="15"/>
  <c r="EZ9" i="15"/>
  <c r="EM9" i="15"/>
  <c r="DY9" i="15"/>
  <c r="CY9" i="15"/>
  <c r="CK9" i="15"/>
  <c r="BX9" i="15"/>
  <c r="BK9" i="15"/>
  <c r="AW9" i="15"/>
  <c r="AJ9" i="15"/>
  <c r="W9" i="15"/>
  <c r="FM8" i="15"/>
  <c r="EZ8" i="15"/>
  <c r="EM8" i="15"/>
  <c r="DY8" i="15"/>
  <c r="DI25" i="15"/>
  <c r="CY8" i="15"/>
  <c r="CK8" i="15"/>
  <c r="BX8" i="15"/>
  <c r="BK8" i="15"/>
  <c r="AW8" i="15"/>
  <c r="AJ8" i="15"/>
  <c r="W8" i="15"/>
  <c r="FM7" i="15"/>
  <c r="EZ7" i="15"/>
  <c r="EM7" i="15"/>
  <c r="DY7" i="15"/>
  <c r="CY7" i="15"/>
  <c r="CK7" i="15"/>
  <c r="BX7" i="15"/>
  <c r="BK7" i="15"/>
  <c r="AW7" i="15"/>
  <c r="AJ7" i="15"/>
  <c r="W7" i="15"/>
  <c r="FM6" i="15"/>
  <c r="EZ6" i="15"/>
  <c r="EM6" i="15"/>
  <c r="DY6" i="15"/>
  <c r="DF25" i="15"/>
  <c r="CY6" i="15"/>
  <c r="CK6" i="15"/>
  <c r="BX6" i="15"/>
  <c r="BK6" i="15"/>
  <c r="AW6" i="15"/>
  <c r="AJ6" i="15"/>
  <c r="FM5" i="15"/>
  <c r="EZ5" i="15"/>
  <c r="EM5" i="15"/>
  <c r="DY5" i="15"/>
  <c r="DL5" i="15"/>
  <c r="CY5" i="15"/>
  <c r="CK5" i="15"/>
  <c r="BX5" i="15"/>
  <c r="BK5" i="15"/>
  <c r="AW5" i="15"/>
  <c r="AJ5" i="15"/>
  <c r="W5" i="15"/>
  <c r="AX161" i="15" l="1"/>
  <c r="DZ163" i="15"/>
  <c r="DZ167" i="15"/>
  <c r="DZ169" i="15"/>
  <c r="DZ173" i="15"/>
  <c r="DZ177" i="15"/>
  <c r="DZ181" i="15"/>
  <c r="DZ183" i="15"/>
  <c r="DZ185" i="15"/>
  <c r="DZ187" i="15"/>
  <c r="DZ191" i="15"/>
  <c r="DZ193" i="15"/>
  <c r="DZ197" i="15"/>
  <c r="DZ199" i="15"/>
  <c r="AX201" i="15"/>
  <c r="DZ201" i="15"/>
  <c r="DZ220" i="15"/>
  <c r="DZ226" i="15"/>
  <c r="DZ230" i="15"/>
  <c r="DZ234" i="15"/>
  <c r="DZ238" i="15"/>
  <c r="DZ240" i="15"/>
  <c r="DZ242" i="15"/>
  <c r="AM153" i="15"/>
  <c r="CN245" i="15"/>
  <c r="CT245" i="15"/>
  <c r="DA245" i="15"/>
  <c r="DG245" i="15"/>
  <c r="EB245" i="15"/>
  <c r="EH245" i="15"/>
  <c r="EO245" i="15"/>
  <c r="EU245" i="15"/>
  <c r="AQ153" i="15"/>
  <c r="CM153" i="15"/>
  <c r="DZ161" i="15"/>
  <c r="FO161" i="15" s="1"/>
  <c r="DZ165" i="15"/>
  <c r="DZ171" i="15"/>
  <c r="DZ175" i="15"/>
  <c r="DZ179" i="15"/>
  <c r="DZ189" i="15"/>
  <c r="DZ195" i="15"/>
  <c r="CM245" i="15"/>
  <c r="DS245" i="15"/>
  <c r="DZ222" i="15"/>
  <c r="DZ228" i="15"/>
  <c r="DZ232" i="15"/>
  <c r="DZ236" i="15"/>
  <c r="AX242" i="15"/>
  <c r="J202" i="15"/>
  <c r="CL223" i="15"/>
  <c r="FN223" i="15"/>
  <c r="FN225" i="15"/>
  <c r="CL243" i="15"/>
  <c r="FN243" i="15"/>
  <c r="CQ245" i="15"/>
  <c r="CW245" i="15"/>
  <c r="DQ245" i="15"/>
  <c r="EE245" i="15"/>
  <c r="EK245" i="15"/>
  <c r="EN153" i="15"/>
  <c r="EP153" i="15"/>
  <c r="ER153" i="15"/>
  <c r="ET153" i="15"/>
  <c r="EV153" i="15"/>
  <c r="EX153" i="15"/>
  <c r="FN227" i="15"/>
  <c r="FN229" i="15"/>
  <c r="FN231" i="15"/>
  <c r="FN233" i="15"/>
  <c r="FN235" i="15"/>
  <c r="FN237" i="15"/>
  <c r="FN239" i="15"/>
  <c r="FN241" i="15"/>
  <c r="FN214" i="15"/>
  <c r="FN216" i="15"/>
  <c r="FN218" i="15"/>
  <c r="FN219" i="15"/>
  <c r="FN221" i="15"/>
  <c r="FN204" i="15"/>
  <c r="FN206" i="15"/>
  <c r="FN210" i="15"/>
  <c r="EN245" i="15"/>
  <c r="EV245" i="15"/>
  <c r="FN162" i="15"/>
  <c r="FN164" i="15"/>
  <c r="FN166" i="15"/>
  <c r="FN168" i="15"/>
  <c r="FN170" i="15"/>
  <c r="FN172" i="15"/>
  <c r="FN174" i="15"/>
  <c r="FN176" i="15"/>
  <c r="FN178" i="15"/>
  <c r="FN180" i="15"/>
  <c r="FN182" i="15"/>
  <c r="FN184" i="15"/>
  <c r="FN186" i="15"/>
  <c r="FN188" i="15"/>
  <c r="FN190" i="15"/>
  <c r="FN192" i="15"/>
  <c r="FN194" i="15"/>
  <c r="FN196" i="15"/>
  <c r="FN198" i="15"/>
  <c r="FN200" i="15"/>
  <c r="EA245" i="15"/>
  <c r="FN212" i="15"/>
  <c r="EG245" i="15"/>
  <c r="FN208" i="15"/>
  <c r="DP245" i="15"/>
  <c r="DX245" i="15"/>
  <c r="DZ205" i="15"/>
  <c r="DZ207" i="15"/>
  <c r="DZ209" i="15"/>
  <c r="DZ211" i="15"/>
  <c r="DZ213" i="15"/>
  <c r="DZ215" i="15"/>
  <c r="DZ217" i="15"/>
  <c r="CS245" i="15"/>
  <c r="DO153" i="15"/>
  <c r="DQ153" i="15"/>
  <c r="DW153" i="15"/>
  <c r="CQ153" i="15"/>
  <c r="DY25" i="15"/>
  <c r="DG153" i="15"/>
  <c r="CE245" i="15"/>
  <c r="CJ245" i="15"/>
  <c r="CB245" i="15"/>
  <c r="BQ245" i="15"/>
  <c r="BU245" i="15"/>
  <c r="BO245" i="15"/>
  <c r="BS245" i="15"/>
  <c r="BW245" i="15"/>
  <c r="CL200" i="15"/>
  <c r="AN245" i="15"/>
  <c r="AV245" i="15"/>
  <c r="AX219" i="15"/>
  <c r="Y245" i="15"/>
  <c r="AA245" i="15"/>
  <c r="AC245" i="15"/>
  <c r="AE245" i="15"/>
  <c r="AG245" i="15"/>
  <c r="AI245" i="15"/>
  <c r="K153" i="15"/>
  <c r="X153" i="15"/>
  <c r="Z153" i="15"/>
  <c r="AB153" i="15"/>
  <c r="AD153" i="15"/>
  <c r="AF153" i="15"/>
  <c r="AH153" i="15"/>
  <c r="FO90" i="15"/>
  <c r="CL203" i="15"/>
  <c r="FN203" i="15"/>
  <c r="J244" i="15"/>
  <c r="DH25" i="15"/>
  <c r="EH122" i="15"/>
  <c r="EH153" i="15" s="1"/>
  <c r="DL137" i="15"/>
  <c r="DZ137" i="15" s="1"/>
  <c r="DL143" i="15"/>
  <c r="DZ143" i="15" s="1"/>
  <c r="DL145" i="15"/>
  <c r="FO150" i="15"/>
  <c r="FO149" i="15"/>
  <c r="FO127" i="15"/>
  <c r="FO68" i="15"/>
  <c r="CL5" i="15"/>
  <c r="DZ65" i="15"/>
  <c r="EZ122" i="15"/>
  <c r="FM122" i="15"/>
  <c r="FO148" i="15"/>
  <c r="DS153" i="15"/>
  <c r="DJ153" i="15"/>
  <c r="W73" i="15"/>
  <c r="AJ152" i="15"/>
  <c r="AW152" i="15"/>
  <c r="BX152" i="15"/>
  <c r="CK152" i="15"/>
  <c r="DY152" i="15"/>
  <c r="EZ152" i="15"/>
  <c r="FM152" i="15"/>
  <c r="FN5" i="15"/>
  <c r="AX6" i="15"/>
  <c r="FN6" i="15"/>
  <c r="AX7" i="15"/>
  <c r="FN7" i="15"/>
  <c r="AX8" i="15"/>
  <c r="FN8" i="15"/>
  <c r="AX9" i="15"/>
  <c r="FN9" i="15"/>
  <c r="AX10" i="15"/>
  <c r="DZ10" i="15"/>
  <c r="FN10" i="15"/>
  <c r="AX11" i="15"/>
  <c r="FN11" i="15"/>
  <c r="AX12" i="15"/>
  <c r="FN12" i="15"/>
  <c r="AX13" i="15"/>
  <c r="DZ13" i="15"/>
  <c r="FN13" i="15"/>
  <c r="AX14" i="15"/>
  <c r="DZ14" i="15"/>
  <c r="CL15" i="15"/>
  <c r="CL16" i="15"/>
  <c r="CL17" i="15"/>
  <c r="CL18" i="15"/>
  <c r="AX26" i="15"/>
  <c r="DZ26" i="15"/>
  <c r="FN35" i="15"/>
  <c r="AX36" i="15"/>
  <c r="FN36" i="15"/>
  <c r="AX37" i="15"/>
  <c r="AX114" i="15"/>
  <c r="AX115" i="15"/>
  <c r="AX117" i="15"/>
  <c r="AX118" i="15"/>
  <c r="CL119" i="15"/>
  <c r="AX131" i="15"/>
  <c r="AX132" i="15"/>
  <c r="AX133" i="15"/>
  <c r="AX134" i="15"/>
  <c r="AX135" i="15"/>
  <c r="AX137" i="15"/>
  <c r="AX138" i="15"/>
  <c r="AX139" i="15"/>
  <c r="AX140" i="15"/>
  <c r="AX141" i="15"/>
  <c r="AX142" i="15"/>
  <c r="CL147" i="15"/>
  <c r="FN147" i="15"/>
  <c r="AX151" i="15"/>
  <c r="DZ151" i="15"/>
  <c r="CL146" i="15"/>
  <c r="S153" i="15"/>
  <c r="DZ37" i="15"/>
  <c r="FN37" i="15"/>
  <c r="AX38" i="15"/>
  <c r="FN38" i="15"/>
  <c r="AX39" i="15"/>
  <c r="DZ39" i="15"/>
  <c r="FN39" i="15"/>
  <c r="FN42" i="15"/>
  <c r="AX43" i="15"/>
  <c r="FN43" i="15"/>
  <c r="AX44" i="15"/>
  <c r="FN44" i="15"/>
  <c r="AX45" i="15"/>
  <c r="DZ45" i="15"/>
  <c r="FN45" i="15"/>
  <c r="AX46" i="15"/>
  <c r="FN46" i="15"/>
  <c r="AX47" i="15"/>
  <c r="DZ47" i="15"/>
  <c r="FN48" i="15"/>
  <c r="AX49" i="15"/>
  <c r="FN49" i="15"/>
  <c r="AX50" i="15"/>
  <c r="FN50" i="15"/>
  <c r="AX51" i="15"/>
  <c r="FN51" i="15"/>
  <c r="AX52" i="15"/>
  <c r="DZ52" i="15"/>
  <c r="FN52" i="15"/>
  <c r="AX53" i="15"/>
  <c r="FN53" i="15"/>
  <c r="AX54" i="15"/>
  <c r="DZ54" i="15"/>
  <c r="FN54" i="15"/>
  <c r="AX55" i="15"/>
  <c r="FN55" i="15"/>
  <c r="AX56" i="15"/>
  <c r="DZ56" i="15"/>
  <c r="FN56" i="15"/>
  <c r="AX57" i="15"/>
  <c r="FN57" i="15"/>
  <c r="AX58" i="15"/>
  <c r="FN58" i="15"/>
  <c r="AX59" i="15"/>
  <c r="DZ59" i="15"/>
  <c r="FN59" i="15"/>
  <c r="AX60" i="15"/>
  <c r="FN62" i="15"/>
  <c r="AX63" i="15"/>
  <c r="DZ63" i="15"/>
  <c r="FN64" i="15"/>
  <c r="AX72" i="15"/>
  <c r="DZ72" i="15"/>
  <c r="AX74" i="15"/>
  <c r="DZ74" i="15"/>
  <c r="CL75" i="15"/>
  <c r="CL77" i="15"/>
  <c r="DZ93" i="15"/>
  <c r="CL94" i="15"/>
  <c r="FN94" i="15"/>
  <c r="FN102" i="15"/>
  <c r="AX103" i="15"/>
  <c r="FN103" i="15"/>
  <c r="AX104" i="15"/>
  <c r="FN104" i="15"/>
  <c r="AX105" i="15"/>
  <c r="FN105" i="15"/>
  <c r="AX106" i="15"/>
  <c r="DZ106" i="15"/>
  <c r="FN106" i="15"/>
  <c r="AX107" i="15"/>
  <c r="FN107" i="15"/>
  <c r="AX108" i="15"/>
  <c r="DZ108" i="15"/>
  <c r="FN108" i="15"/>
  <c r="AX109" i="15"/>
  <c r="AX123" i="15"/>
  <c r="DZ123" i="15"/>
  <c r="CL125" i="15"/>
  <c r="CL126" i="15"/>
  <c r="CL128" i="15"/>
  <c r="FN128" i="15"/>
  <c r="FO69" i="15"/>
  <c r="CL124" i="15"/>
  <c r="BG153" i="15"/>
  <c r="CL91" i="15"/>
  <c r="CL79" i="15"/>
  <c r="CL81" i="15"/>
  <c r="CL83" i="15"/>
  <c r="CL85" i="15"/>
  <c r="CL87" i="15"/>
  <c r="CL89" i="15"/>
  <c r="CL92" i="15"/>
  <c r="BC153" i="15"/>
  <c r="CL93" i="15"/>
  <c r="FO66" i="15"/>
  <c r="CT153" i="15"/>
  <c r="AL153" i="15"/>
  <c r="AN153" i="15"/>
  <c r="AP153" i="15"/>
  <c r="AR153" i="15"/>
  <c r="AT153" i="15"/>
  <c r="AV153" i="15"/>
  <c r="BZ153" i="15"/>
  <c r="CB153" i="15"/>
  <c r="CD153" i="15"/>
  <c r="CF153" i="15"/>
  <c r="CH153" i="15"/>
  <c r="CJ153" i="15"/>
  <c r="CV153" i="15"/>
  <c r="CX153" i="15"/>
  <c r="EB153" i="15"/>
  <c r="ED153" i="15"/>
  <c r="EF153" i="15"/>
  <c r="FB153" i="15"/>
  <c r="FD153" i="15"/>
  <c r="FF153" i="15"/>
  <c r="FH153" i="15"/>
  <c r="FJ153" i="15"/>
  <c r="FL153" i="15"/>
  <c r="DY95" i="15"/>
  <c r="EZ95" i="15"/>
  <c r="FM95" i="15"/>
  <c r="AX96" i="15"/>
  <c r="DZ96" i="15"/>
  <c r="CL97" i="15"/>
  <c r="DZ98" i="15"/>
  <c r="CL99" i="15"/>
  <c r="FN99" i="15"/>
  <c r="AX101" i="15"/>
  <c r="DZ101" i="15"/>
  <c r="CL102" i="15"/>
  <c r="CL110" i="15"/>
  <c r="CL111" i="15"/>
  <c r="FN111" i="15"/>
  <c r="AX112" i="15"/>
  <c r="FN112" i="15"/>
  <c r="AX113" i="15"/>
  <c r="DZ113" i="15"/>
  <c r="FN113" i="15"/>
  <c r="FN114" i="15"/>
  <c r="DZ115" i="15"/>
  <c r="CL116" i="15"/>
  <c r="FN116" i="15"/>
  <c r="FN117" i="15"/>
  <c r="FN118" i="15"/>
  <c r="FN119" i="15"/>
  <c r="CL120" i="15"/>
  <c r="CL121" i="15"/>
  <c r="FN121" i="15"/>
  <c r="CL130" i="15"/>
  <c r="FN130" i="15"/>
  <c r="FN131" i="15"/>
  <c r="FN132" i="15"/>
  <c r="DZ133" i="15"/>
  <c r="FN133" i="15"/>
  <c r="FN134" i="15"/>
  <c r="FN135" i="15"/>
  <c r="FN136" i="15"/>
  <c r="FN137" i="15"/>
  <c r="FN138" i="15"/>
  <c r="FN139" i="15"/>
  <c r="FN140" i="15"/>
  <c r="FN141" i="15"/>
  <c r="DZ142" i="15"/>
  <c r="CL143" i="15"/>
  <c r="CL144" i="15"/>
  <c r="CL145" i="15"/>
  <c r="FO70" i="15"/>
  <c r="FO67" i="15"/>
  <c r="CL88" i="15"/>
  <c r="CL86" i="15"/>
  <c r="CL84" i="15"/>
  <c r="CL82" i="15"/>
  <c r="CL80" i="15"/>
  <c r="CL78" i="15"/>
  <c r="CL76" i="15"/>
  <c r="CA153" i="15"/>
  <c r="CC153" i="15"/>
  <c r="CE153" i="15"/>
  <c r="CI153" i="15"/>
  <c r="CL27" i="15"/>
  <c r="CL28" i="15"/>
  <c r="CL30" i="15"/>
  <c r="CL32" i="15"/>
  <c r="CL34" i="15"/>
  <c r="CL64" i="15"/>
  <c r="BP153" i="15"/>
  <c r="BR153" i="15"/>
  <c r="BT153" i="15"/>
  <c r="BV153" i="15"/>
  <c r="CL29" i="15"/>
  <c r="CL31" i="15"/>
  <c r="CL33" i="15"/>
  <c r="CL35" i="15"/>
  <c r="CL48" i="15"/>
  <c r="BN153" i="15"/>
  <c r="BL153" i="15"/>
  <c r="FN18" i="15"/>
  <c r="AX19" i="15"/>
  <c r="FN19" i="15"/>
  <c r="AX21" i="15"/>
  <c r="DZ21" i="15"/>
  <c r="FN24" i="15"/>
  <c r="CL40" i="15"/>
  <c r="CL42" i="15"/>
  <c r="CL62" i="15"/>
  <c r="CL61" i="15"/>
  <c r="AY153" i="15"/>
  <c r="CL41" i="15"/>
  <c r="CL20" i="15"/>
  <c r="CL24" i="15"/>
  <c r="CL22" i="15"/>
  <c r="J224" i="15"/>
  <c r="J245" i="15" s="1"/>
  <c r="DE73" i="15"/>
  <c r="FN40" i="15"/>
  <c r="AX41" i="15"/>
  <c r="DL41" i="15"/>
  <c r="DZ41" i="15" s="1"/>
  <c r="FN41" i="15"/>
  <c r="AX42" i="15"/>
  <c r="DZ42" i="15"/>
  <c r="CL43" i="15"/>
  <c r="DL43" i="15"/>
  <c r="DZ43" i="15" s="1"/>
  <c r="CL44" i="15"/>
  <c r="CL45" i="15"/>
  <c r="CL46" i="15"/>
  <c r="CL47" i="15"/>
  <c r="FN47" i="15"/>
  <c r="AX48" i="15"/>
  <c r="DZ48" i="15"/>
  <c r="CL49" i="15"/>
  <c r="CL50" i="15"/>
  <c r="DL50" i="15"/>
  <c r="DZ50" i="15" s="1"/>
  <c r="CL51" i="15"/>
  <c r="CL52" i="15"/>
  <c r="CL53" i="15"/>
  <c r="CL54" i="15"/>
  <c r="CL55" i="15"/>
  <c r="CL56" i="15"/>
  <c r="CL57" i="15"/>
  <c r="CL58" i="15"/>
  <c r="DZ58" i="15"/>
  <c r="CL59" i="15"/>
  <c r="CL60" i="15"/>
  <c r="Y153" i="15"/>
  <c r="AC153" i="15"/>
  <c r="AG153" i="15"/>
  <c r="BM153" i="15"/>
  <c r="BQ153" i="15"/>
  <c r="BU153" i="15"/>
  <c r="ES153" i="15"/>
  <c r="CP95" i="15"/>
  <c r="CP153" i="15" s="1"/>
  <c r="AX40" i="15"/>
  <c r="AX5" i="15"/>
  <c r="DZ5" i="15"/>
  <c r="CL6" i="15"/>
  <c r="CL7" i="15"/>
  <c r="DL7" i="15"/>
  <c r="DZ7" i="15" s="1"/>
  <c r="CL8" i="15"/>
  <c r="DK25" i="15"/>
  <c r="DK153" i="15" s="1"/>
  <c r="CL9" i="15"/>
  <c r="DL9" i="15"/>
  <c r="DZ9" i="15" s="1"/>
  <c r="CL10" i="15"/>
  <c r="CL11" i="15"/>
  <c r="DL11" i="15"/>
  <c r="DZ11" i="15" s="1"/>
  <c r="CL12" i="15"/>
  <c r="CL13" i="15"/>
  <c r="CL14" i="15"/>
  <c r="FN14" i="15"/>
  <c r="AX15" i="15"/>
  <c r="FN15" i="15"/>
  <c r="AX16" i="15"/>
  <c r="FN16" i="15"/>
  <c r="AX17" i="15"/>
  <c r="DL17" i="15"/>
  <c r="DZ17" i="15" s="1"/>
  <c r="FN17" i="15"/>
  <c r="AX18" i="15"/>
  <c r="DZ18" i="15"/>
  <c r="CL19" i="15"/>
  <c r="DL19" i="15"/>
  <c r="DZ19" i="15" s="1"/>
  <c r="CL21" i="15"/>
  <c r="FN21" i="15"/>
  <c r="AX20" i="15"/>
  <c r="FN20" i="15"/>
  <c r="AX22" i="15"/>
  <c r="DZ22" i="15"/>
  <c r="AX24" i="15"/>
  <c r="DZ24" i="15"/>
  <c r="CL26" i="15"/>
  <c r="FN26" i="15"/>
  <c r="AX27" i="15"/>
  <c r="FN27" i="15"/>
  <c r="AX28" i="15"/>
  <c r="DL28" i="15"/>
  <c r="DZ28" i="15" s="1"/>
  <c r="FN28" i="15"/>
  <c r="AX29" i="15"/>
  <c r="FN29" i="15"/>
  <c r="AX30" i="15"/>
  <c r="DL30" i="15"/>
  <c r="DZ30" i="15" s="1"/>
  <c r="FN30" i="15"/>
  <c r="AX31" i="15"/>
  <c r="FN31" i="15"/>
  <c r="AX32" i="15"/>
  <c r="DL32" i="15"/>
  <c r="DZ32" i="15" s="1"/>
  <c r="FN32" i="15"/>
  <c r="AX33" i="15"/>
  <c r="FN33" i="15"/>
  <c r="AX34" i="15"/>
  <c r="DL34" i="15"/>
  <c r="DZ34" i="15" s="1"/>
  <c r="FN34" i="15"/>
  <c r="AX35" i="15"/>
  <c r="DZ35" i="15"/>
  <c r="CL36" i="15"/>
  <c r="CL37" i="15"/>
  <c r="CL38" i="15"/>
  <c r="CL39" i="15"/>
  <c r="DC73" i="15"/>
  <c r="FN60" i="15"/>
  <c r="AX61" i="15"/>
  <c r="DL61" i="15"/>
  <c r="DZ61" i="15" s="1"/>
  <c r="FN61" i="15"/>
  <c r="AX62" i="15"/>
  <c r="DZ62" i="15"/>
  <c r="CL63" i="15"/>
  <c r="FN63" i="15"/>
  <c r="AX64" i="15"/>
  <c r="DZ64" i="15"/>
  <c r="CL65" i="15"/>
  <c r="EM73" i="15"/>
  <c r="CL72" i="15"/>
  <c r="FN72" i="15"/>
  <c r="M153" i="15"/>
  <c r="U153" i="15"/>
  <c r="AK153" i="15"/>
  <c r="AS153" i="15"/>
  <c r="BK73" i="15"/>
  <c r="BA153" i="15"/>
  <c r="BE153" i="15"/>
  <c r="BI153" i="15"/>
  <c r="BY153" i="15"/>
  <c r="CG153" i="15"/>
  <c r="CY73" i="15"/>
  <c r="CO153" i="15"/>
  <c r="CS153" i="15"/>
  <c r="CW153" i="15"/>
  <c r="DM153" i="15"/>
  <c r="DA153" i="15"/>
  <c r="EO153" i="15"/>
  <c r="EW153" i="15"/>
  <c r="CU122" i="15"/>
  <c r="CY122" i="15" s="1"/>
  <c r="CY111" i="15"/>
  <c r="DZ111" i="15" s="1"/>
  <c r="DU153" i="15"/>
  <c r="EC153" i="15"/>
  <c r="EK153" i="15"/>
  <c r="EZ73" i="15"/>
  <c r="FA153" i="15"/>
  <c r="FE153" i="15"/>
  <c r="FI153" i="15"/>
  <c r="CL74" i="15"/>
  <c r="FN74" i="15"/>
  <c r="AX75" i="15"/>
  <c r="DE95" i="15"/>
  <c r="DL95" i="15" s="1"/>
  <c r="FN75" i="15"/>
  <c r="AX76" i="15"/>
  <c r="DL76" i="15"/>
  <c r="DZ76" i="15" s="1"/>
  <c r="FN76" i="15"/>
  <c r="AX77" i="15"/>
  <c r="FN77" i="15"/>
  <c r="AX78" i="15"/>
  <c r="DL78" i="15"/>
  <c r="DZ78" i="15" s="1"/>
  <c r="FN78" i="15"/>
  <c r="AX79" i="15"/>
  <c r="FN79" i="15"/>
  <c r="AX80" i="15"/>
  <c r="DL80" i="15"/>
  <c r="DZ80" i="15" s="1"/>
  <c r="FN80" i="15"/>
  <c r="AX81" i="15"/>
  <c r="FN81" i="15"/>
  <c r="AX82" i="15"/>
  <c r="DL82" i="15"/>
  <c r="DZ82" i="15" s="1"/>
  <c r="FN82" i="15"/>
  <c r="AX83" i="15"/>
  <c r="FN83" i="15"/>
  <c r="AX84" i="15"/>
  <c r="DL84" i="15"/>
  <c r="DZ84" i="15" s="1"/>
  <c r="FN84" i="15"/>
  <c r="AX85" i="15"/>
  <c r="FN85" i="15"/>
  <c r="AX86" i="15"/>
  <c r="DL86" i="15"/>
  <c r="DZ86" i="15" s="1"/>
  <c r="FN86" i="15"/>
  <c r="AX87" i="15"/>
  <c r="FN87" i="15"/>
  <c r="AX88" i="15"/>
  <c r="DL88" i="15"/>
  <c r="DZ88" i="15" s="1"/>
  <c r="FN88" i="15"/>
  <c r="AX89" i="15"/>
  <c r="FN89" i="15"/>
  <c r="AX91" i="15"/>
  <c r="DL91" i="15"/>
  <c r="DZ91" i="15" s="1"/>
  <c r="FN91" i="15"/>
  <c r="AX92" i="15"/>
  <c r="FN92" i="15"/>
  <c r="AX93" i="15"/>
  <c r="FN93" i="15"/>
  <c r="AX94" i="15"/>
  <c r="DZ94" i="15"/>
  <c r="W95" i="15"/>
  <c r="AJ95" i="15"/>
  <c r="BK95" i="15"/>
  <c r="BX95" i="15"/>
  <c r="CY95" i="15"/>
  <c r="CL96" i="15"/>
  <c r="FN96" i="15"/>
  <c r="AX97" i="15"/>
  <c r="DL97" i="15"/>
  <c r="DZ97" i="15" s="1"/>
  <c r="FN97" i="15"/>
  <c r="W100" i="15"/>
  <c r="CL98" i="15"/>
  <c r="FN98" i="15"/>
  <c r="AX99" i="15"/>
  <c r="DZ99" i="15"/>
  <c r="AW100" i="15"/>
  <c r="BK100" i="15"/>
  <c r="CK100" i="15"/>
  <c r="CY100" i="15"/>
  <c r="DY100" i="15"/>
  <c r="EM100" i="15"/>
  <c r="FM100" i="15"/>
  <c r="CL101" i="15"/>
  <c r="FN101" i="15"/>
  <c r="DH122" i="15"/>
  <c r="EG122" i="15"/>
  <c r="EG153" i="15" s="1"/>
  <c r="Q122" i="15"/>
  <c r="Q153" i="15" s="1"/>
  <c r="W110" i="15"/>
  <c r="AX110" i="15" s="1"/>
  <c r="AX136" i="15"/>
  <c r="AX203" i="15"/>
  <c r="FO203" i="15" s="1"/>
  <c r="DZ203" i="15"/>
  <c r="BH245" i="15"/>
  <c r="DT245" i="15"/>
  <c r="FH245" i="15"/>
  <c r="AX102" i="15"/>
  <c r="DZ102" i="15"/>
  <c r="CL103" i="15"/>
  <c r="CL104" i="15"/>
  <c r="CL105" i="15"/>
  <c r="CL106" i="15"/>
  <c r="CL107" i="15"/>
  <c r="CL108" i="15"/>
  <c r="CL109" i="15"/>
  <c r="FN110" i="15"/>
  <c r="AX111" i="15"/>
  <c r="CL112" i="15"/>
  <c r="DL112" i="15"/>
  <c r="DZ112" i="15" s="1"/>
  <c r="CL113" i="15"/>
  <c r="CL114" i="15"/>
  <c r="DL114" i="15"/>
  <c r="DZ114" i="15" s="1"/>
  <c r="CL115" i="15"/>
  <c r="FN115" i="15"/>
  <c r="AX116" i="15"/>
  <c r="DZ116" i="15"/>
  <c r="CL117" i="15"/>
  <c r="DZ117" i="15"/>
  <c r="DZ118" i="15"/>
  <c r="AX119" i="15"/>
  <c r="DZ119" i="15"/>
  <c r="AX120" i="15"/>
  <c r="DZ120" i="15"/>
  <c r="AX121" i="15"/>
  <c r="DZ121" i="15"/>
  <c r="BX122" i="15"/>
  <c r="CK122" i="15"/>
  <c r="DY122" i="15"/>
  <c r="CL123" i="15"/>
  <c r="FN123" i="15"/>
  <c r="AX124" i="15"/>
  <c r="FN124" i="15"/>
  <c r="AX125" i="15"/>
  <c r="FN125" i="15"/>
  <c r="AX126" i="15"/>
  <c r="DL126" i="15"/>
  <c r="DZ126" i="15" s="1"/>
  <c r="FN126" i="15"/>
  <c r="AX128" i="15"/>
  <c r="DZ128" i="15"/>
  <c r="AJ129" i="15"/>
  <c r="AW129" i="15"/>
  <c r="BX129" i="15"/>
  <c r="CK129" i="15"/>
  <c r="EM129" i="15"/>
  <c r="EZ129" i="15"/>
  <c r="AX130" i="15"/>
  <c r="DZ130" i="15"/>
  <c r="CL131" i="15"/>
  <c r="DB152" i="15"/>
  <c r="CL132" i="15"/>
  <c r="DL132" i="15"/>
  <c r="DZ132" i="15" s="1"/>
  <c r="CL133" i="15"/>
  <c r="CL134" i="15"/>
  <c r="DL134" i="15"/>
  <c r="DZ134" i="15" s="1"/>
  <c r="CL135" i="15"/>
  <c r="CL136" i="15"/>
  <c r="DL136" i="15"/>
  <c r="DZ136" i="15" s="1"/>
  <c r="CL137" i="15"/>
  <c r="CL138" i="15"/>
  <c r="CL139" i="15"/>
  <c r="DE152" i="15"/>
  <c r="CL140" i="15"/>
  <c r="CL141" i="15"/>
  <c r="CL142" i="15"/>
  <c r="FN142" i="15"/>
  <c r="AX143" i="15"/>
  <c r="FN143" i="15"/>
  <c r="AX144" i="15"/>
  <c r="DL144" i="15"/>
  <c r="DZ144" i="15" s="1"/>
  <c r="FN144" i="15"/>
  <c r="AX145" i="15"/>
  <c r="FN145" i="15"/>
  <c r="AX146" i="15"/>
  <c r="FN146" i="15"/>
  <c r="AX147" i="15"/>
  <c r="DZ147" i="15"/>
  <c r="CL151" i="15"/>
  <c r="FN151" i="15"/>
  <c r="CL161" i="15"/>
  <c r="FN161" i="15"/>
  <c r="AX162" i="15"/>
  <c r="DZ162" i="15"/>
  <c r="CL163" i="15"/>
  <c r="FN163" i="15"/>
  <c r="AX164" i="15"/>
  <c r="DZ164" i="15"/>
  <c r="CL165" i="15"/>
  <c r="FN165" i="15"/>
  <c r="AX166" i="15"/>
  <c r="DZ166" i="15"/>
  <c r="CL167" i="15"/>
  <c r="FN167" i="15"/>
  <c r="AX168" i="15"/>
  <c r="DZ168" i="15"/>
  <c r="CL169" i="15"/>
  <c r="FN169" i="15"/>
  <c r="AX170" i="15"/>
  <c r="DZ170" i="15"/>
  <c r="CL171" i="15"/>
  <c r="FN171" i="15"/>
  <c r="AX172" i="15"/>
  <c r="DZ172" i="15"/>
  <c r="CL173" i="15"/>
  <c r="FN173" i="15"/>
  <c r="AX174" i="15"/>
  <c r="DZ174" i="15"/>
  <c r="CL175" i="15"/>
  <c r="FN175" i="15"/>
  <c r="AX176" i="15"/>
  <c r="DZ176" i="15"/>
  <c r="CL177" i="15"/>
  <c r="FN177" i="15"/>
  <c r="AX178" i="15"/>
  <c r="DZ178" i="15"/>
  <c r="CL179" i="15"/>
  <c r="FN179" i="15"/>
  <c r="AX180" i="15"/>
  <c r="DZ180" i="15"/>
  <c r="CL181" i="15"/>
  <c r="FN181" i="15"/>
  <c r="AX182" i="15"/>
  <c r="DZ182" i="15"/>
  <c r="CL183" i="15"/>
  <c r="FN183" i="15"/>
  <c r="AX184" i="15"/>
  <c r="DZ184" i="15"/>
  <c r="CL185" i="15"/>
  <c r="FN185" i="15"/>
  <c r="AX186" i="15"/>
  <c r="DZ186" i="15"/>
  <c r="CL187" i="15"/>
  <c r="FN187" i="15"/>
  <c r="AX188" i="15"/>
  <c r="DZ188" i="15"/>
  <c r="CL189" i="15"/>
  <c r="FN189" i="15"/>
  <c r="AX190" i="15"/>
  <c r="DZ190" i="15"/>
  <c r="CL191" i="15"/>
  <c r="FN191" i="15"/>
  <c r="AX192" i="15"/>
  <c r="DZ192" i="15"/>
  <c r="CL193" i="15"/>
  <c r="FN193" i="15"/>
  <c r="AX194" i="15"/>
  <c r="DZ194" i="15"/>
  <c r="CL195" i="15"/>
  <c r="FN195" i="15"/>
  <c r="AX196" i="15"/>
  <c r="DZ196" i="15"/>
  <c r="CL197" i="15"/>
  <c r="FN197" i="15"/>
  <c r="AX198" i="15"/>
  <c r="DZ198" i="15"/>
  <c r="CL199" i="15"/>
  <c r="FN199" i="15"/>
  <c r="AX200" i="15"/>
  <c r="DZ200" i="15"/>
  <c r="CL201" i="15"/>
  <c r="FO201" i="15" s="1"/>
  <c r="FN201" i="15"/>
  <c r="DZ204" i="15"/>
  <c r="FN205" i="15"/>
  <c r="FO205" i="15" s="1"/>
  <c r="DZ206" i="15"/>
  <c r="FN207" i="15"/>
  <c r="DZ208" i="15"/>
  <c r="FN209" i="15"/>
  <c r="DZ210" i="15"/>
  <c r="FN211" i="15"/>
  <c r="DZ212" i="15"/>
  <c r="FN213" i="15"/>
  <c r="DZ214" i="15"/>
  <c r="FN215" i="15"/>
  <c r="DZ216" i="15"/>
  <c r="FN217" i="15"/>
  <c r="DZ218" i="15"/>
  <c r="DZ219" i="15"/>
  <c r="FN220" i="15"/>
  <c r="AX221" i="15"/>
  <c r="DZ221" i="15"/>
  <c r="CL222" i="15"/>
  <c r="FN222" i="15"/>
  <c r="AX223" i="15"/>
  <c r="DZ223" i="15"/>
  <c r="W224" i="15"/>
  <c r="AJ224" i="15"/>
  <c r="CY224" i="15"/>
  <c r="DL224" i="15"/>
  <c r="DD245" i="15"/>
  <c r="EM224" i="15"/>
  <c r="EZ224" i="15"/>
  <c r="ER245" i="15"/>
  <c r="AX225" i="15"/>
  <c r="DZ225" i="15"/>
  <c r="CL226" i="15"/>
  <c r="FN226" i="15"/>
  <c r="AX227" i="15"/>
  <c r="DZ227" i="15"/>
  <c r="CL228" i="15"/>
  <c r="FN228" i="15"/>
  <c r="AX229" i="15"/>
  <c r="DZ229" i="15"/>
  <c r="CL230" i="15"/>
  <c r="FN230" i="15"/>
  <c r="AX231" i="15"/>
  <c r="DZ231" i="15"/>
  <c r="CL232" i="15"/>
  <c r="FN232" i="15"/>
  <c r="FO232" i="15" s="1"/>
  <c r="AX233" i="15"/>
  <c r="DZ233" i="15"/>
  <c r="CL234" i="15"/>
  <c r="FN234" i="15"/>
  <c r="AX235" i="15"/>
  <c r="DZ235" i="15"/>
  <c r="CL236" i="15"/>
  <c r="FN236" i="15"/>
  <c r="AX237" i="15"/>
  <c r="DZ237" i="15"/>
  <c r="CL238" i="15"/>
  <c r="FN238" i="15"/>
  <c r="AX239" i="15"/>
  <c r="DZ239" i="15"/>
  <c r="CL240" i="15"/>
  <c r="FN240" i="15"/>
  <c r="AX241" i="15"/>
  <c r="DZ241" i="15"/>
  <c r="CL242" i="15"/>
  <c r="FN242" i="15"/>
  <c r="AX243" i="15"/>
  <c r="DZ243" i="15"/>
  <c r="W244" i="15"/>
  <c r="AJ244" i="15"/>
  <c r="BK244" i="15"/>
  <c r="BX244" i="15"/>
  <c r="CY244" i="15"/>
  <c r="DL244" i="15"/>
  <c r="DY244" i="15"/>
  <c r="EM244" i="15"/>
  <c r="EZ244" i="15"/>
  <c r="FM244" i="15"/>
  <c r="BX224" i="15"/>
  <c r="CA245" i="15"/>
  <c r="CC245" i="15"/>
  <c r="CG245" i="15"/>
  <c r="AM245" i="15"/>
  <c r="AO245" i="15"/>
  <c r="AQ245" i="15"/>
  <c r="AS245" i="15"/>
  <c r="AU245" i="15"/>
  <c r="Q245" i="15"/>
  <c r="AK245" i="15"/>
  <c r="K245" i="15"/>
  <c r="CL225" i="15"/>
  <c r="CF245" i="15"/>
  <c r="CL227" i="15"/>
  <c r="CL229" i="15"/>
  <c r="CL231" i="15"/>
  <c r="CL233" i="15"/>
  <c r="CL235" i="15"/>
  <c r="CL237" i="15"/>
  <c r="CL239" i="15"/>
  <c r="CL241" i="15"/>
  <c r="CL205" i="15"/>
  <c r="CL207" i="15"/>
  <c r="CL209" i="15"/>
  <c r="CL211" i="15"/>
  <c r="CL213" i="15"/>
  <c r="CL215" i="15"/>
  <c r="CL217" i="15"/>
  <c r="CL219" i="15"/>
  <c r="CL221" i="15"/>
  <c r="BP245" i="15"/>
  <c r="CL162" i="15"/>
  <c r="CL164" i="15"/>
  <c r="CL166" i="15"/>
  <c r="CL168" i="15"/>
  <c r="CL170" i="15"/>
  <c r="FO170" i="15" s="1"/>
  <c r="CL172" i="15"/>
  <c r="CL174" i="15"/>
  <c r="CL176" i="15"/>
  <c r="CL178" i="15"/>
  <c r="CL180" i="15"/>
  <c r="CL182" i="15"/>
  <c r="FO182" i="15" s="1"/>
  <c r="CL184" i="15"/>
  <c r="CL186" i="15"/>
  <c r="CL188" i="15"/>
  <c r="CL190" i="15"/>
  <c r="CL192" i="15"/>
  <c r="CL194" i="15"/>
  <c r="FO194" i="15" s="1"/>
  <c r="CL196" i="15"/>
  <c r="CL198" i="15"/>
  <c r="CL204" i="15"/>
  <c r="CL206" i="15"/>
  <c r="CL208" i="15"/>
  <c r="CL210" i="15"/>
  <c r="CL212" i="15"/>
  <c r="CL214" i="15"/>
  <c r="CL216" i="15"/>
  <c r="CL218" i="15"/>
  <c r="CL220" i="15"/>
  <c r="BK224" i="15"/>
  <c r="AX228" i="15"/>
  <c r="AX230" i="15"/>
  <c r="AX232" i="15"/>
  <c r="AX234" i="15"/>
  <c r="AX236" i="15"/>
  <c r="AX238" i="15"/>
  <c r="AX240" i="15"/>
  <c r="FO240" i="15" s="1"/>
  <c r="AX222" i="15"/>
  <c r="AX163" i="15"/>
  <c r="AX165" i="15"/>
  <c r="AX167" i="15"/>
  <c r="AX169" i="15"/>
  <c r="AX171" i="15"/>
  <c r="AX173" i="15"/>
  <c r="AX175" i="15"/>
  <c r="AX177" i="15"/>
  <c r="AX179" i="15"/>
  <c r="AX181" i="15"/>
  <c r="AX183" i="15"/>
  <c r="AX185" i="15"/>
  <c r="AX187" i="15"/>
  <c r="AX189" i="15"/>
  <c r="AX191" i="15"/>
  <c r="AX193" i="15"/>
  <c r="AX195" i="15"/>
  <c r="AX197" i="15"/>
  <c r="AX199" i="15"/>
  <c r="AR245" i="15"/>
  <c r="AB245" i="15"/>
  <c r="AX226" i="15"/>
  <c r="AX204" i="15"/>
  <c r="AX206" i="15"/>
  <c r="AX208" i="15"/>
  <c r="AX210" i="15"/>
  <c r="AX212" i="15"/>
  <c r="AX214" i="15"/>
  <c r="AX216" i="15"/>
  <c r="AX218" i="15"/>
  <c r="AX220" i="15"/>
  <c r="DL6" i="15"/>
  <c r="DZ6" i="15" s="1"/>
  <c r="DL8" i="15"/>
  <c r="DZ8" i="15" s="1"/>
  <c r="AJ25" i="15"/>
  <c r="BX25" i="15"/>
  <c r="EZ25" i="15"/>
  <c r="CZ73" i="15"/>
  <c r="DL27" i="15"/>
  <c r="DZ27" i="15" s="1"/>
  <c r="DL49" i="15"/>
  <c r="DZ49" i="15" s="1"/>
  <c r="EM65" i="15"/>
  <c r="FN65" i="15" s="1"/>
  <c r="FM73" i="15"/>
  <c r="W98" i="15"/>
  <c r="AX98" i="15" s="1"/>
  <c r="EM109" i="15"/>
  <c r="FN109" i="15" s="1"/>
  <c r="BK118" i="15"/>
  <c r="CL118" i="15" s="1"/>
  <c r="BK122" i="15"/>
  <c r="DF122" i="15"/>
  <c r="DL131" i="15"/>
  <c r="DZ131" i="15" s="1"/>
  <c r="DL135" i="15"/>
  <c r="DZ135" i="15" s="1"/>
  <c r="DZ12" i="15"/>
  <c r="DZ15" i="15"/>
  <c r="DZ16" i="15"/>
  <c r="CY20" i="15"/>
  <c r="DZ20" i="15" s="1"/>
  <c r="L153" i="15"/>
  <c r="N153" i="15"/>
  <c r="P153" i="15"/>
  <c r="R153" i="15"/>
  <c r="T153" i="15"/>
  <c r="V153" i="15"/>
  <c r="AA153" i="15"/>
  <c r="AE153" i="15"/>
  <c r="AI153" i="15"/>
  <c r="AW25" i="15"/>
  <c r="AZ153" i="15"/>
  <c r="BB153" i="15"/>
  <c r="BD153" i="15"/>
  <c r="BF153" i="15"/>
  <c r="BH153" i="15"/>
  <c r="BJ153" i="15"/>
  <c r="BO153" i="15"/>
  <c r="BS153" i="15"/>
  <c r="BW153" i="15"/>
  <c r="CK25" i="15"/>
  <c r="CN153" i="15"/>
  <c r="CR153" i="15"/>
  <c r="DD153" i="15"/>
  <c r="DN153" i="15"/>
  <c r="DP153" i="15"/>
  <c r="DR153" i="15"/>
  <c r="DT153" i="15"/>
  <c r="DV153" i="15"/>
  <c r="DX153" i="15"/>
  <c r="EA153" i="15"/>
  <c r="EE153" i="15"/>
  <c r="EJ153" i="15"/>
  <c r="EL153" i="15"/>
  <c r="EQ153" i="15"/>
  <c r="EU153" i="15"/>
  <c r="EY153" i="15"/>
  <c r="FM25" i="15"/>
  <c r="FC153" i="15"/>
  <c r="FG153" i="15"/>
  <c r="FK153" i="15"/>
  <c r="DL29" i="15"/>
  <c r="DZ29" i="15" s="1"/>
  <c r="DL31" i="15"/>
  <c r="DZ31" i="15" s="1"/>
  <c r="DL33" i="15"/>
  <c r="DZ33" i="15" s="1"/>
  <c r="DZ36" i="15"/>
  <c r="DL38" i="15"/>
  <c r="DZ38" i="15" s="1"/>
  <c r="DL40" i="15"/>
  <c r="DZ40" i="15" s="1"/>
  <c r="DZ44" i="15"/>
  <c r="DL46" i="15"/>
  <c r="DZ46" i="15" s="1"/>
  <c r="DZ51" i="15"/>
  <c r="DL53" i="15"/>
  <c r="DZ53" i="15" s="1"/>
  <c r="DL55" i="15"/>
  <c r="DZ55" i="15" s="1"/>
  <c r="DL57" i="15"/>
  <c r="DZ57" i="15" s="1"/>
  <c r="DZ60" i="15"/>
  <c r="AJ73" i="15"/>
  <c r="AW73" i="15"/>
  <c r="BX73" i="15"/>
  <c r="CK73" i="15"/>
  <c r="DY73" i="15"/>
  <c r="DL77" i="15"/>
  <c r="DZ77" i="15" s="1"/>
  <c r="DL79" i="15"/>
  <c r="DZ79" i="15" s="1"/>
  <c r="DL81" i="15"/>
  <c r="DZ81" i="15" s="1"/>
  <c r="DL83" i="15"/>
  <c r="DZ83" i="15" s="1"/>
  <c r="DL85" i="15"/>
  <c r="DZ85" i="15" s="1"/>
  <c r="DL87" i="15"/>
  <c r="DZ87" i="15" s="1"/>
  <c r="DL89" i="15"/>
  <c r="DZ89" i="15" s="1"/>
  <c r="DL92" i="15"/>
  <c r="DZ92" i="15" s="1"/>
  <c r="AW95" i="15"/>
  <c r="CK95" i="15"/>
  <c r="EM95" i="15"/>
  <c r="AJ100" i="15"/>
  <c r="BX100" i="15"/>
  <c r="DL100" i="15"/>
  <c r="EZ100" i="15"/>
  <c r="DL103" i="15"/>
  <c r="DZ103" i="15" s="1"/>
  <c r="DI122" i="15"/>
  <c r="DI153" i="15" s="1"/>
  <c r="DL104" i="15"/>
  <c r="DZ104" i="15" s="1"/>
  <c r="DZ105" i="15"/>
  <c r="DL107" i="15"/>
  <c r="DZ107" i="15" s="1"/>
  <c r="DL109" i="15"/>
  <c r="DZ109" i="15" s="1"/>
  <c r="EI122" i="15"/>
  <c r="EI153" i="15" s="1"/>
  <c r="DZ110" i="15"/>
  <c r="EM120" i="15"/>
  <c r="FN120" i="15" s="1"/>
  <c r="AW122" i="15"/>
  <c r="DC129" i="15"/>
  <c r="DL124" i="15"/>
  <c r="DZ124" i="15" s="1"/>
  <c r="DZ125" i="15"/>
  <c r="W129" i="15"/>
  <c r="BK129" i="15"/>
  <c r="CY129" i="15"/>
  <c r="CZ129" i="15"/>
  <c r="DL129" i="15" s="1"/>
  <c r="DY129" i="15"/>
  <c r="FM129" i="15"/>
  <c r="W202" i="15"/>
  <c r="BK202" i="15"/>
  <c r="CY202" i="15"/>
  <c r="EM22" i="15"/>
  <c r="FN22" i="15" s="1"/>
  <c r="W25" i="15"/>
  <c r="BK25" i="15"/>
  <c r="CY25" i="15"/>
  <c r="EM25" i="15"/>
  <c r="DL75" i="15"/>
  <c r="DZ75" i="15" s="1"/>
  <c r="DL138" i="15"/>
  <c r="DZ138" i="15" s="1"/>
  <c r="DL139" i="15"/>
  <c r="DZ139" i="15" s="1"/>
  <c r="DL140" i="15"/>
  <c r="DZ140" i="15" s="1"/>
  <c r="DL141" i="15"/>
  <c r="DZ141" i="15" s="1"/>
  <c r="DZ145" i="15"/>
  <c r="DZ146" i="15"/>
  <c r="W152" i="15"/>
  <c r="BK152" i="15"/>
  <c r="CY152" i="15"/>
  <c r="EM152" i="15"/>
  <c r="X245" i="15"/>
  <c r="AF245" i="15"/>
  <c r="AW202" i="15"/>
  <c r="BL245" i="15"/>
  <c r="BT245" i="15"/>
  <c r="CK202" i="15"/>
  <c r="CZ245" i="15"/>
  <c r="DH245" i="15"/>
  <c r="DM245" i="15"/>
  <c r="DY202" i="15"/>
  <c r="DZ244" i="15"/>
  <c r="Z245" i="15"/>
  <c r="AD245" i="15"/>
  <c r="AH245" i="15"/>
  <c r="AJ202" i="15"/>
  <c r="AJ245" i="15" s="1"/>
  <c r="AL245" i="15"/>
  <c r="AP245" i="15"/>
  <c r="AT245" i="15"/>
  <c r="BN245" i="15"/>
  <c r="BR245" i="15"/>
  <c r="BV245" i="15"/>
  <c r="BX202" i="15"/>
  <c r="BZ245" i="15"/>
  <c r="CD245" i="15"/>
  <c r="CH245" i="15"/>
  <c r="DB245" i="15"/>
  <c r="DF245" i="15"/>
  <c r="DJ245" i="15"/>
  <c r="DL202" i="15"/>
  <c r="DN245" i="15"/>
  <c r="DR245" i="15"/>
  <c r="DV245" i="15"/>
  <c r="EP245" i="15"/>
  <c r="ET245" i="15"/>
  <c r="EX245" i="15"/>
  <c r="EZ202" i="15"/>
  <c r="FB245" i="15"/>
  <c r="FF245" i="15"/>
  <c r="FJ245" i="15"/>
  <c r="AW224" i="15"/>
  <c r="CK224" i="15"/>
  <c r="DY224" i="15"/>
  <c r="FM224" i="15"/>
  <c r="AW244" i="15"/>
  <c r="CK244" i="15"/>
  <c r="DW245" i="15"/>
  <c r="EM202" i="15"/>
  <c r="FA245" i="15"/>
  <c r="FC245" i="15"/>
  <c r="FE245" i="15"/>
  <c r="FG245" i="15"/>
  <c r="FI245" i="15"/>
  <c r="FK245" i="15"/>
  <c r="FM202" i="15"/>
  <c r="CC219" i="10"/>
  <c r="CB219" i="10"/>
  <c r="CA219" i="10"/>
  <c r="BZ219" i="10"/>
  <c r="BY219" i="10"/>
  <c r="BX219" i="10"/>
  <c r="BW219" i="10"/>
  <c r="BV219" i="10"/>
  <c r="BU219" i="10"/>
  <c r="BT219" i="10"/>
  <c r="BS219" i="10"/>
  <c r="BR219" i="10"/>
  <c r="CC197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P219" i="10"/>
  <c r="BO219" i="10"/>
  <c r="BN219" i="10"/>
  <c r="BM219" i="10"/>
  <c r="BL219" i="10"/>
  <c r="BK219" i="10"/>
  <c r="BJ219" i="10"/>
  <c r="BI219" i="10"/>
  <c r="BH219" i="10"/>
  <c r="BG219" i="10"/>
  <c r="BF219" i="10"/>
  <c r="BE219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AR197" i="10"/>
  <c r="D239" i="10"/>
  <c r="FE239" i="10"/>
  <c r="FD239" i="10"/>
  <c r="FC239" i="10"/>
  <c r="FB239" i="10"/>
  <c r="FA239" i="10"/>
  <c r="EZ239" i="10"/>
  <c r="EY239" i="10"/>
  <c r="EX239" i="10"/>
  <c r="EW239" i="10"/>
  <c r="EV239" i="10"/>
  <c r="EU239" i="10"/>
  <c r="ET239" i="10"/>
  <c r="ER239" i="10"/>
  <c r="EQ239" i="10"/>
  <c r="EP239" i="10"/>
  <c r="EO239" i="10"/>
  <c r="EN239" i="10"/>
  <c r="EM239" i="10"/>
  <c r="EL239" i="10"/>
  <c r="EK239" i="10"/>
  <c r="EJ239" i="10"/>
  <c r="EI239" i="10"/>
  <c r="EH239" i="10"/>
  <c r="EG239" i="10"/>
  <c r="EE239" i="10"/>
  <c r="ED239" i="10"/>
  <c r="EC239" i="10"/>
  <c r="EB239" i="10"/>
  <c r="EA239" i="10"/>
  <c r="DZ239" i="10"/>
  <c r="DY239" i="10"/>
  <c r="DX239" i="10"/>
  <c r="DW239" i="10"/>
  <c r="DV239" i="10"/>
  <c r="DU239" i="10"/>
  <c r="DT239" i="10"/>
  <c r="DQ239" i="10"/>
  <c r="DP239" i="10"/>
  <c r="DO239" i="10"/>
  <c r="DN239" i="10"/>
  <c r="DM239" i="10"/>
  <c r="DL239" i="10"/>
  <c r="DK239" i="10"/>
  <c r="DJ239" i="10"/>
  <c r="DI239" i="10"/>
  <c r="DH239" i="10"/>
  <c r="DG239" i="10"/>
  <c r="DF239" i="10"/>
  <c r="DC239" i="10"/>
  <c r="CZ239" i="10"/>
  <c r="CW239" i="10"/>
  <c r="CT239" i="10"/>
  <c r="CQ239" i="10"/>
  <c r="CP239" i="10"/>
  <c r="CO239" i="10"/>
  <c r="CN239" i="10"/>
  <c r="CM239" i="10"/>
  <c r="CL239" i="10"/>
  <c r="CK239" i="10"/>
  <c r="CJ239" i="10"/>
  <c r="CI239" i="10"/>
  <c r="CH239" i="10"/>
  <c r="CG239" i="10"/>
  <c r="CF239" i="10"/>
  <c r="CC239" i="10"/>
  <c r="CB239" i="10"/>
  <c r="CA239" i="10"/>
  <c r="BZ239" i="10"/>
  <c r="BY239" i="10"/>
  <c r="BX239" i="10"/>
  <c r="BW239" i="10"/>
  <c r="BV239" i="10"/>
  <c r="BU239" i="10"/>
  <c r="BT239" i="10"/>
  <c r="BT240" i="10" s="1"/>
  <c r="BS239" i="10"/>
  <c r="BR239" i="10"/>
  <c r="BP239" i="10"/>
  <c r="BO239" i="10"/>
  <c r="BN239" i="10"/>
  <c r="BM239" i="10"/>
  <c r="BL239" i="10"/>
  <c r="BK239" i="10"/>
  <c r="BJ239" i="10"/>
  <c r="BI239" i="10"/>
  <c r="BH239" i="10"/>
  <c r="BG239" i="10"/>
  <c r="BF239" i="10"/>
  <c r="BE239" i="10"/>
  <c r="BC239" i="10"/>
  <c r="BB239" i="10"/>
  <c r="BA239" i="10"/>
  <c r="AZ239" i="10"/>
  <c r="AY239" i="10"/>
  <c r="AX239" i="10"/>
  <c r="AW239" i="10"/>
  <c r="AV239" i="10"/>
  <c r="AU239" i="10"/>
  <c r="AT239" i="10"/>
  <c r="AS239" i="10"/>
  <c r="AR239" i="10"/>
  <c r="AO239" i="10"/>
  <c r="AN239" i="10"/>
  <c r="AM239" i="10"/>
  <c r="AL239" i="10"/>
  <c r="AK239" i="10"/>
  <c r="AJ239" i="10"/>
  <c r="AI239" i="10"/>
  <c r="AH239" i="10"/>
  <c r="AG239" i="10"/>
  <c r="AF239" i="10"/>
  <c r="AE239" i="10"/>
  <c r="AD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O239" i="10"/>
  <c r="N239" i="10"/>
  <c r="M239" i="10"/>
  <c r="L239" i="10"/>
  <c r="K239" i="10"/>
  <c r="J239" i="10"/>
  <c r="I239" i="10"/>
  <c r="H239" i="10"/>
  <c r="G239" i="10"/>
  <c r="F239" i="10"/>
  <c r="E239" i="10"/>
  <c r="FF238" i="10"/>
  <c r="ES238" i="10"/>
  <c r="EF238" i="10"/>
  <c r="FG238" i="10" s="1"/>
  <c r="DR238" i="10"/>
  <c r="DE238" i="10"/>
  <c r="CR238" i="10"/>
  <c r="CD238" i="10"/>
  <c r="BQ238" i="10"/>
  <c r="BD238" i="10"/>
  <c r="CE238" i="10" s="1"/>
  <c r="AP238" i="10"/>
  <c r="AC238" i="10"/>
  <c r="P238" i="10"/>
  <c r="FF237" i="10"/>
  <c r="ES237" i="10"/>
  <c r="EF237" i="10"/>
  <c r="DR237" i="10"/>
  <c r="DE237" i="10"/>
  <c r="CR237" i="10"/>
  <c r="CD237" i="10"/>
  <c r="BQ237" i="10"/>
  <c r="BD237" i="10"/>
  <c r="AP237" i="10"/>
  <c r="AC237" i="10"/>
  <c r="P237" i="10"/>
  <c r="FF236" i="10"/>
  <c r="ES236" i="10"/>
  <c r="EF236" i="10"/>
  <c r="DR236" i="10"/>
  <c r="DE236" i="10"/>
  <c r="CR236" i="10"/>
  <c r="CD236" i="10"/>
  <c r="BQ236" i="10"/>
  <c r="BD236" i="10"/>
  <c r="AP236" i="10"/>
  <c r="AC236" i="10"/>
  <c r="P236" i="10"/>
  <c r="FF235" i="10"/>
  <c r="ES235" i="10"/>
  <c r="EF235" i="10"/>
  <c r="DR235" i="10"/>
  <c r="DE235" i="10"/>
  <c r="CR235" i="10"/>
  <c r="CD235" i="10"/>
  <c r="BQ235" i="10"/>
  <c r="BD235" i="10"/>
  <c r="AP235" i="10"/>
  <c r="AC235" i="10"/>
  <c r="P235" i="10"/>
  <c r="FF234" i="10"/>
  <c r="ES234" i="10"/>
  <c r="EF234" i="10"/>
  <c r="DR234" i="10"/>
  <c r="DE234" i="10"/>
  <c r="CR234" i="10"/>
  <c r="CD234" i="10"/>
  <c r="BQ234" i="10"/>
  <c r="BD234" i="10"/>
  <c r="AP234" i="10"/>
  <c r="AC234" i="10"/>
  <c r="P234" i="10"/>
  <c r="FF233" i="10"/>
  <c r="ES233" i="10"/>
  <c r="EF233" i="10"/>
  <c r="DR233" i="10"/>
  <c r="DE233" i="10"/>
  <c r="CR233" i="10"/>
  <c r="CD233" i="10"/>
  <c r="BQ233" i="10"/>
  <c r="BD233" i="10"/>
  <c r="AP233" i="10"/>
  <c r="AC233" i="10"/>
  <c r="P233" i="10"/>
  <c r="FF232" i="10"/>
  <c r="ES232" i="10"/>
  <c r="EF232" i="10"/>
  <c r="DR232" i="10"/>
  <c r="DE232" i="10"/>
  <c r="CR232" i="10"/>
  <c r="CD232" i="10"/>
  <c r="BQ232" i="10"/>
  <c r="BD232" i="10"/>
  <c r="AP232" i="10"/>
  <c r="AC232" i="10"/>
  <c r="P232" i="10"/>
  <c r="FF231" i="10"/>
  <c r="ES231" i="10"/>
  <c r="EF231" i="10"/>
  <c r="DR231" i="10"/>
  <c r="DD239" i="10"/>
  <c r="DB239" i="10"/>
  <c r="CR231" i="10"/>
  <c r="CD231" i="10"/>
  <c r="BQ231" i="10"/>
  <c r="BD231" i="10"/>
  <c r="AP231" i="10"/>
  <c r="AC231" i="10"/>
  <c r="P231" i="10"/>
  <c r="FF230" i="10"/>
  <c r="ES230" i="10"/>
  <c r="EF230" i="10"/>
  <c r="DR230" i="10"/>
  <c r="DE230" i="10"/>
  <c r="CR230" i="10"/>
  <c r="CD230" i="10"/>
  <c r="BQ230" i="10"/>
  <c r="BD230" i="10"/>
  <c r="AP230" i="10"/>
  <c r="AC230" i="10"/>
  <c r="P230" i="10"/>
  <c r="FF229" i="10"/>
  <c r="ES229" i="10"/>
  <c r="EF229" i="10"/>
  <c r="DR229" i="10"/>
  <c r="CX239" i="10"/>
  <c r="CV239" i="10"/>
  <c r="CR229" i="10"/>
  <c r="CD229" i="10"/>
  <c r="BQ229" i="10"/>
  <c r="BD229" i="10"/>
  <c r="AP229" i="10"/>
  <c r="AC229" i="10"/>
  <c r="P229" i="10"/>
  <c r="FF228" i="10"/>
  <c r="ES228" i="10"/>
  <c r="EF228" i="10"/>
  <c r="DR228" i="10"/>
  <c r="DE228" i="10"/>
  <c r="CR228" i="10"/>
  <c r="CD228" i="10"/>
  <c r="BQ228" i="10"/>
  <c r="BD228" i="10"/>
  <c r="AP228" i="10"/>
  <c r="AC228" i="10"/>
  <c r="P228" i="10"/>
  <c r="FF227" i="10"/>
  <c r="ES227" i="10"/>
  <c r="EF227" i="10"/>
  <c r="DR227" i="10"/>
  <c r="DE227" i="10"/>
  <c r="CR227" i="10"/>
  <c r="CD227" i="10"/>
  <c r="BQ227" i="10"/>
  <c r="BD227" i="10"/>
  <c r="AP227" i="10"/>
  <c r="AC227" i="10"/>
  <c r="P227" i="10"/>
  <c r="FF226" i="10"/>
  <c r="ES226" i="10"/>
  <c r="EF226" i="10"/>
  <c r="DR226" i="10"/>
  <c r="DA239" i="10"/>
  <c r="DE226" i="10"/>
  <c r="CR226" i="10"/>
  <c r="CD226" i="10"/>
  <c r="BQ226" i="10"/>
  <c r="BD226" i="10"/>
  <c r="AP226" i="10"/>
  <c r="AC226" i="10"/>
  <c r="P226" i="10"/>
  <c r="FF225" i="10"/>
  <c r="ES225" i="10"/>
  <c r="EF225" i="10"/>
  <c r="DR225" i="10"/>
  <c r="CY239" i="10"/>
  <c r="CR225" i="10"/>
  <c r="CD225" i="10"/>
  <c r="BQ225" i="10"/>
  <c r="BD225" i="10"/>
  <c r="AP225" i="10"/>
  <c r="AC225" i="10"/>
  <c r="P225" i="10"/>
  <c r="FF224" i="10"/>
  <c r="ES224" i="10"/>
  <c r="EF224" i="10"/>
  <c r="DR224" i="10"/>
  <c r="DE224" i="10"/>
  <c r="CR224" i="10"/>
  <c r="CD224" i="10"/>
  <c r="BQ224" i="10"/>
  <c r="BD224" i="10"/>
  <c r="AP224" i="10"/>
  <c r="AC224" i="10"/>
  <c r="P224" i="10"/>
  <c r="FF223" i="10"/>
  <c r="ES223" i="10"/>
  <c r="EF223" i="10"/>
  <c r="DR223" i="10"/>
  <c r="DE223" i="10"/>
  <c r="CR223" i="10"/>
  <c r="CD223" i="10"/>
  <c r="BQ223" i="10"/>
  <c r="BD223" i="10"/>
  <c r="AP223" i="10"/>
  <c r="AC223" i="10"/>
  <c r="P223" i="10"/>
  <c r="FF222" i="10"/>
  <c r="ES222" i="10"/>
  <c r="EF222" i="10"/>
  <c r="DR222" i="10"/>
  <c r="CU239" i="10"/>
  <c r="DE222" i="10"/>
  <c r="CR222" i="10"/>
  <c r="CD222" i="10"/>
  <c r="BQ222" i="10"/>
  <c r="BD222" i="10"/>
  <c r="AP222" i="10"/>
  <c r="AC222" i="10"/>
  <c r="P222" i="10"/>
  <c r="FF221" i="10"/>
  <c r="ES221" i="10"/>
  <c r="EF221" i="10"/>
  <c r="DR221" i="10"/>
  <c r="CS239" i="10"/>
  <c r="CR221" i="10"/>
  <c r="CD221" i="10"/>
  <c r="BQ221" i="10"/>
  <c r="BD221" i="10"/>
  <c r="AP221" i="10"/>
  <c r="AC221" i="10"/>
  <c r="P221" i="10"/>
  <c r="FF220" i="10"/>
  <c r="ES220" i="10"/>
  <c r="EF220" i="10"/>
  <c r="DR220" i="10"/>
  <c r="DE220" i="10"/>
  <c r="CR220" i="10"/>
  <c r="DS220" i="10" s="1"/>
  <c r="CD220" i="10"/>
  <c r="BQ220" i="10"/>
  <c r="BD220" i="10"/>
  <c r="AP220" i="10"/>
  <c r="AC220" i="10"/>
  <c r="P220" i="10"/>
  <c r="AQ220" i="10" s="1"/>
  <c r="FE219" i="10"/>
  <c r="FD219" i="10"/>
  <c r="FC219" i="10"/>
  <c r="FB219" i="10"/>
  <c r="FA219" i="10"/>
  <c r="EZ219" i="10"/>
  <c r="EY219" i="10"/>
  <c r="EX219" i="10"/>
  <c r="EW219" i="10"/>
  <c r="EV219" i="10"/>
  <c r="EU219" i="10"/>
  <c r="ET219" i="10"/>
  <c r="ER219" i="10"/>
  <c r="EQ219" i="10"/>
  <c r="EP219" i="10"/>
  <c r="EO219" i="10"/>
  <c r="EN219" i="10"/>
  <c r="EM219" i="10"/>
  <c r="EL219" i="10"/>
  <c r="EK219" i="10"/>
  <c r="EJ219" i="10"/>
  <c r="EI219" i="10"/>
  <c r="EH219" i="10"/>
  <c r="EG219" i="10"/>
  <c r="EE219" i="10"/>
  <c r="ED219" i="10"/>
  <c r="EC219" i="10"/>
  <c r="DY219" i="10"/>
  <c r="DX219" i="10"/>
  <c r="DW219" i="10"/>
  <c r="DV219" i="10"/>
  <c r="DU219" i="10"/>
  <c r="DT219" i="10"/>
  <c r="DQ219" i="10"/>
  <c r="DP219" i="10"/>
  <c r="DO219" i="10"/>
  <c r="DN219" i="10"/>
  <c r="DM219" i="10"/>
  <c r="DL219" i="10"/>
  <c r="DK219" i="10"/>
  <c r="DJ219" i="10"/>
  <c r="DI219" i="10"/>
  <c r="DH219" i="10"/>
  <c r="DG219" i="10"/>
  <c r="DF219" i="10"/>
  <c r="DD219" i="10"/>
  <c r="DC219" i="10"/>
  <c r="CZ219" i="10"/>
  <c r="CX219" i="10"/>
  <c r="CW219" i="10"/>
  <c r="CV219" i="10"/>
  <c r="CU219" i="10"/>
  <c r="CT219" i="10"/>
  <c r="CS219" i="10"/>
  <c r="CQ219" i="10"/>
  <c r="CP219" i="10"/>
  <c r="CO219" i="10"/>
  <c r="CM219" i="10"/>
  <c r="CL219" i="10"/>
  <c r="CK219" i="10"/>
  <c r="CJ219" i="10"/>
  <c r="CI219" i="10"/>
  <c r="CH219" i="10"/>
  <c r="CG219" i="10"/>
  <c r="CF219" i="10"/>
  <c r="BC219" i="10"/>
  <c r="BB219" i="10"/>
  <c r="BA219" i="10"/>
  <c r="AZ219" i="10"/>
  <c r="AY219" i="10"/>
  <c r="AW219" i="10"/>
  <c r="AV219" i="10"/>
  <c r="AU219" i="10"/>
  <c r="AT219" i="10"/>
  <c r="AS219" i="10"/>
  <c r="AR219" i="10"/>
  <c r="AO219" i="10"/>
  <c r="AN219" i="10"/>
  <c r="AM219" i="10"/>
  <c r="AL219" i="10"/>
  <c r="AK219" i="10"/>
  <c r="AJ219" i="10"/>
  <c r="AI219" i="10"/>
  <c r="AH219" i="10"/>
  <c r="AG219" i="10"/>
  <c r="AF219" i="10"/>
  <c r="AE219" i="10"/>
  <c r="AD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O219" i="10"/>
  <c r="N219" i="10"/>
  <c r="M219" i="10"/>
  <c r="L219" i="10"/>
  <c r="K219" i="10"/>
  <c r="I219" i="10"/>
  <c r="H219" i="10"/>
  <c r="G219" i="10"/>
  <c r="F219" i="10"/>
  <c r="E219" i="10"/>
  <c r="D219" i="10"/>
  <c r="FF218" i="10"/>
  <c r="ES218" i="10"/>
  <c r="EF218" i="10"/>
  <c r="DR218" i="10"/>
  <c r="DE218" i="10"/>
  <c r="CR218" i="10"/>
  <c r="CD218" i="10"/>
  <c r="BQ218" i="10"/>
  <c r="BD218" i="10"/>
  <c r="AP218" i="10"/>
  <c r="AC218" i="10"/>
  <c r="P218" i="10"/>
  <c r="FF217" i="10"/>
  <c r="ES217" i="10"/>
  <c r="EA219" i="10"/>
  <c r="EF217" i="10"/>
  <c r="DR217" i="10"/>
  <c r="DE217" i="10"/>
  <c r="CR217" i="10"/>
  <c r="CD217" i="10"/>
  <c r="BQ217" i="10"/>
  <c r="BD217" i="10"/>
  <c r="AP217" i="10"/>
  <c r="AC217" i="10"/>
  <c r="P217" i="10"/>
  <c r="FF216" i="10"/>
  <c r="ES216" i="10"/>
  <c r="EF216" i="10"/>
  <c r="DR216" i="10"/>
  <c r="DE216" i="10"/>
  <c r="CR216" i="10"/>
  <c r="CD216" i="10"/>
  <c r="BQ216" i="10"/>
  <c r="BD216" i="10"/>
  <c r="AP216" i="10"/>
  <c r="AC216" i="10"/>
  <c r="P216" i="10"/>
  <c r="FF215" i="10"/>
  <c r="ES215" i="10"/>
  <c r="EF215" i="10"/>
  <c r="DR215" i="10"/>
  <c r="DE215" i="10"/>
  <c r="CR215" i="10"/>
  <c r="CD215" i="10"/>
  <c r="BQ215" i="10"/>
  <c r="AX219" i="10"/>
  <c r="AP215" i="10"/>
  <c r="AC215" i="10"/>
  <c r="P215" i="10"/>
  <c r="FF214" i="10"/>
  <c r="ES214" i="10"/>
  <c r="EF214" i="10"/>
  <c r="DR214" i="10"/>
  <c r="DE214" i="10"/>
  <c r="CR214" i="10"/>
  <c r="CD214" i="10"/>
  <c r="BQ214" i="10"/>
  <c r="BD214" i="10"/>
  <c r="AP214" i="10"/>
  <c r="AC214" i="10"/>
  <c r="P214" i="10"/>
  <c r="FF213" i="10"/>
  <c r="ES213" i="10"/>
  <c r="EF213" i="10"/>
  <c r="DR213" i="10"/>
  <c r="DE213" i="10"/>
  <c r="CR213" i="10"/>
  <c r="CD213" i="10"/>
  <c r="BQ213" i="10"/>
  <c r="BD213" i="10"/>
  <c r="AP213" i="10"/>
  <c r="AC213" i="10"/>
  <c r="P213" i="10"/>
  <c r="FF212" i="10"/>
  <c r="ES212" i="10"/>
  <c r="EF212" i="10"/>
  <c r="DR212" i="10"/>
  <c r="DE212" i="10"/>
  <c r="CR212" i="10"/>
  <c r="CD212" i="10"/>
  <c r="BQ212" i="10"/>
  <c r="BD212" i="10"/>
  <c r="AP212" i="10"/>
  <c r="AC212" i="10"/>
  <c r="P212" i="10"/>
  <c r="FF211" i="10"/>
  <c r="ES211" i="10"/>
  <c r="EF211" i="10"/>
  <c r="DR211" i="10"/>
  <c r="CR211" i="10"/>
  <c r="CD211" i="10"/>
  <c r="BQ211" i="10"/>
  <c r="BD211" i="10"/>
  <c r="AP211" i="10"/>
  <c r="AC211" i="10"/>
  <c r="P211" i="10"/>
  <c r="FF210" i="10"/>
  <c r="ES210" i="10"/>
  <c r="EF210" i="10"/>
  <c r="DR210" i="10"/>
  <c r="DE210" i="10"/>
  <c r="CR210" i="10"/>
  <c r="CD210" i="10"/>
  <c r="BQ210" i="10"/>
  <c r="BD210" i="10"/>
  <c r="AP210" i="10"/>
  <c r="AC210" i="10"/>
  <c r="P210" i="10"/>
  <c r="FF209" i="10"/>
  <c r="ES209" i="10"/>
  <c r="EF209" i="10"/>
  <c r="DR209" i="10"/>
  <c r="CR209" i="10"/>
  <c r="CD209" i="10"/>
  <c r="BQ209" i="10"/>
  <c r="BD209" i="10"/>
  <c r="AP209" i="10"/>
  <c r="AC209" i="10"/>
  <c r="P209" i="10"/>
  <c r="FF208" i="10"/>
  <c r="ES208" i="10"/>
  <c r="EF208" i="10"/>
  <c r="DR208" i="10"/>
  <c r="DE208" i="10"/>
  <c r="CR208" i="10"/>
  <c r="CN219" i="10"/>
  <c r="CD208" i="10"/>
  <c r="BQ208" i="10"/>
  <c r="BD208" i="10"/>
  <c r="AP208" i="10"/>
  <c r="AC208" i="10"/>
  <c r="P208" i="10"/>
  <c r="FF207" i="10"/>
  <c r="ES207" i="10"/>
  <c r="EF207" i="10"/>
  <c r="DR207" i="10"/>
  <c r="CR207" i="10"/>
  <c r="CD207" i="10"/>
  <c r="BQ207" i="10"/>
  <c r="BD207" i="10"/>
  <c r="AP207" i="10"/>
  <c r="AC207" i="10"/>
  <c r="P207" i="10"/>
  <c r="J219" i="10"/>
  <c r="FF206" i="10"/>
  <c r="ES206" i="10"/>
  <c r="EB219" i="10"/>
  <c r="DR206" i="10"/>
  <c r="DE206" i="10"/>
  <c r="CR206" i="10"/>
  <c r="CD206" i="10"/>
  <c r="BQ206" i="10"/>
  <c r="BD206" i="10"/>
  <c r="AP206" i="10"/>
  <c r="AC206" i="10"/>
  <c r="P206" i="10"/>
  <c r="FF205" i="10"/>
  <c r="ES205" i="10"/>
  <c r="EF205" i="10"/>
  <c r="DR205" i="10"/>
  <c r="DE205" i="10"/>
  <c r="CR205" i="10"/>
  <c r="CD205" i="10"/>
  <c r="BQ205" i="10"/>
  <c r="BD205" i="10"/>
  <c r="AP205" i="10"/>
  <c r="AC205" i="10"/>
  <c r="P205" i="10"/>
  <c r="FF204" i="10"/>
  <c r="ES204" i="10"/>
  <c r="EF204" i="10"/>
  <c r="DR204" i="10"/>
  <c r="DE204" i="10"/>
  <c r="CR204" i="10"/>
  <c r="CD204" i="10"/>
  <c r="BQ204" i="10"/>
  <c r="BD204" i="10"/>
  <c r="AP204" i="10"/>
  <c r="AC204" i="10"/>
  <c r="P204" i="10"/>
  <c r="FF203" i="10"/>
  <c r="ES203" i="10"/>
  <c r="EF203" i="10"/>
  <c r="DR203" i="10"/>
  <c r="DE203" i="10"/>
  <c r="CR203" i="10"/>
  <c r="CD203" i="10"/>
  <c r="BQ203" i="10"/>
  <c r="BD203" i="10"/>
  <c r="AP203" i="10"/>
  <c r="AC203" i="10"/>
  <c r="P203" i="10"/>
  <c r="FF202" i="10"/>
  <c r="ES202" i="10"/>
  <c r="EF202" i="10"/>
  <c r="DR202" i="10"/>
  <c r="DE202" i="10"/>
  <c r="CR202" i="10"/>
  <c r="CD202" i="10"/>
  <c r="BQ202" i="10"/>
  <c r="BD202" i="10"/>
  <c r="AP202" i="10"/>
  <c r="AC202" i="10"/>
  <c r="P202" i="10"/>
  <c r="FF201" i="10"/>
  <c r="ES201" i="10"/>
  <c r="EF201" i="10"/>
  <c r="DR201" i="10"/>
  <c r="CR201" i="10"/>
  <c r="CD201" i="10"/>
  <c r="BQ201" i="10"/>
  <c r="BD201" i="10"/>
  <c r="AP201" i="10"/>
  <c r="AC201" i="10"/>
  <c r="P201" i="10"/>
  <c r="FF200" i="10"/>
  <c r="ES200" i="10"/>
  <c r="EF200" i="10"/>
  <c r="DR200" i="10"/>
  <c r="DA219" i="10"/>
  <c r="DE200" i="10"/>
  <c r="CR200" i="10"/>
  <c r="CD200" i="10"/>
  <c r="BQ200" i="10"/>
  <c r="BD200" i="10"/>
  <c r="AP200" i="10"/>
  <c r="AC200" i="10"/>
  <c r="P200" i="10"/>
  <c r="FF199" i="10"/>
  <c r="ES199" i="10"/>
  <c r="EF199" i="10"/>
  <c r="DR199" i="10"/>
  <c r="DE199" i="10"/>
  <c r="CR199" i="10"/>
  <c r="DS199" i="10" s="1"/>
  <c r="CD199" i="10"/>
  <c r="BQ199" i="10"/>
  <c r="BD199" i="10"/>
  <c r="AP199" i="10"/>
  <c r="AC199" i="10"/>
  <c r="P199" i="10"/>
  <c r="AQ199" i="10" s="1"/>
  <c r="FF198" i="10"/>
  <c r="ES198" i="10"/>
  <c r="EF198" i="10"/>
  <c r="DR198" i="10"/>
  <c r="DE198" i="10"/>
  <c r="DS198" i="10" s="1"/>
  <c r="CR198" i="10"/>
  <c r="CD198" i="10"/>
  <c r="BQ198" i="10"/>
  <c r="BD198" i="10"/>
  <c r="AP198" i="10"/>
  <c r="AC198" i="10"/>
  <c r="P198" i="10"/>
  <c r="FE197" i="10"/>
  <c r="FD197" i="10"/>
  <c r="FC197" i="10"/>
  <c r="FB197" i="10"/>
  <c r="FA197" i="10"/>
  <c r="EZ197" i="10"/>
  <c r="EY197" i="10"/>
  <c r="EX197" i="10"/>
  <c r="EW197" i="10"/>
  <c r="EV197" i="10"/>
  <c r="EU197" i="10"/>
  <c r="ET197" i="10"/>
  <c r="ER197" i="10"/>
  <c r="EQ197" i="10"/>
  <c r="EP197" i="10"/>
  <c r="EO197" i="10"/>
  <c r="EN197" i="10"/>
  <c r="EM197" i="10"/>
  <c r="EL197" i="10"/>
  <c r="EK197" i="10"/>
  <c r="EJ197" i="10"/>
  <c r="EI197" i="10"/>
  <c r="EH197" i="10"/>
  <c r="EG197" i="10"/>
  <c r="EE197" i="10"/>
  <c r="ED197" i="10"/>
  <c r="EC197" i="10"/>
  <c r="EB197" i="10"/>
  <c r="EA197" i="10"/>
  <c r="DZ197" i="10"/>
  <c r="DY197" i="10"/>
  <c r="DX197" i="10"/>
  <c r="DX240" i="10" s="1"/>
  <c r="DW197" i="10"/>
  <c r="DW240" i="10" s="1"/>
  <c r="DV197" i="10"/>
  <c r="DV240" i="10" s="1"/>
  <c r="DU197" i="10"/>
  <c r="DU240" i="10" s="1"/>
  <c r="DQ197" i="10"/>
  <c r="DP197" i="10"/>
  <c r="DO197" i="10"/>
  <c r="DN197" i="10"/>
  <c r="DM197" i="10"/>
  <c r="DL197" i="10"/>
  <c r="DK197" i="10"/>
  <c r="DJ197" i="10"/>
  <c r="DI197" i="10"/>
  <c r="DH197" i="10"/>
  <c r="DG197" i="10"/>
  <c r="DF197" i="10"/>
  <c r="DD197" i="10"/>
  <c r="DC197" i="10"/>
  <c r="DB197" i="10"/>
  <c r="DA197" i="10"/>
  <c r="CZ197" i="10"/>
  <c r="CY197" i="10"/>
  <c r="CW197" i="10"/>
  <c r="CT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O197" i="10"/>
  <c r="AN197" i="10"/>
  <c r="AM197" i="10"/>
  <c r="AL197" i="10"/>
  <c r="AK197" i="10"/>
  <c r="AJ197" i="10"/>
  <c r="AI197" i="10"/>
  <c r="AH197" i="10"/>
  <c r="AG197" i="10"/>
  <c r="AF197" i="10"/>
  <c r="AE197" i="10"/>
  <c r="AD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FF196" i="10"/>
  <c r="ES196" i="10"/>
  <c r="EF196" i="10"/>
  <c r="DR196" i="10"/>
  <c r="DE196" i="10"/>
  <c r="CR196" i="10"/>
  <c r="CD196" i="10"/>
  <c r="BQ196" i="10"/>
  <c r="BD196" i="10"/>
  <c r="AP196" i="10"/>
  <c r="AC196" i="10"/>
  <c r="P196" i="10"/>
  <c r="FF195" i="10"/>
  <c r="ES195" i="10"/>
  <c r="DT197" i="10"/>
  <c r="DR195" i="10"/>
  <c r="DE195" i="10"/>
  <c r="CR195" i="10"/>
  <c r="CD195" i="10"/>
  <c r="BQ195" i="10"/>
  <c r="BD195" i="10"/>
  <c r="AP195" i="10"/>
  <c r="AC195" i="10"/>
  <c r="P195" i="10"/>
  <c r="FF194" i="10"/>
  <c r="ES194" i="10"/>
  <c r="EF194" i="10"/>
  <c r="DR194" i="10"/>
  <c r="DE194" i="10"/>
  <c r="CR194" i="10"/>
  <c r="CD194" i="10"/>
  <c r="BQ194" i="10"/>
  <c r="BD194" i="10"/>
  <c r="AP194" i="10"/>
  <c r="AC194" i="10"/>
  <c r="P194" i="10"/>
  <c r="FF193" i="10"/>
  <c r="ES193" i="10"/>
  <c r="EF193" i="10"/>
  <c r="DR193" i="10"/>
  <c r="DE193" i="10"/>
  <c r="CR193" i="10"/>
  <c r="CD193" i="10"/>
  <c r="BQ193" i="10"/>
  <c r="BD193" i="10"/>
  <c r="AP193" i="10"/>
  <c r="AC193" i="10"/>
  <c r="P193" i="10"/>
  <c r="FF192" i="10"/>
  <c r="ES192" i="10"/>
  <c r="EF192" i="10"/>
  <c r="DR192" i="10"/>
  <c r="DE192" i="10"/>
  <c r="CR192" i="10"/>
  <c r="CD192" i="10"/>
  <c r="BQ192" i="10"/>
  <c r="BD192" i="10"/>
  <c r="AP192" i="10"/>
  <c r="AC192" i="10"/>
  <c r="P192" i="10"/>
  <c r="FF191" i="10"/>
  <c r="ES191" i="10"/>
  <c r="EF191" i="10"/>
  <c r="DR191" i="10"/>
  <c r="CR191" i="10"/>
  <c r="CD191" i="10"/>
  <c r="BQ191" i="10"/>
  <c r="BD191" i="10"/>
  <c r="CE191" i="10" s="1"/>
  <c r="AP191" i="10"/>
  <c r="AC191" i="10"/>
  <c r="P191" i="10"/>
  <c r="FF190" i="10"/>
  <c r="ES190" i="10"/>
  <c r="EF190" i="10"/>
  <c r="DR190" i="10"/>
  <c r="DE190" i="10"/>
  <c r="CR190" i="10"/>
  <c r="CD190" i="10"/>
  <c r="BQ190" i="10"/>
  <c r="BD190" i="10"/>
  <c r="AP190" i="10"/>
  <c r="AC190" i="10"/>
  <c r="P190" i="10"/>
  <c r="FF189" i="10"/>
  <c r="ES189" i="10"/>
  <c r="EF189" i="10"/>
  <c r="DR189" i="10"/>
  <c r="CR189" i="10"/>
  <c r="CD189" i="10"/>
  <c r="BQ189" i="10"/>
  <c r="BD189" i="10"/>
  <c r="AP189" i="10"/>
  <c r="AC189" i="10"/>
  <c r="P189" i="10"/>
  <c r="FF188" i="10"/>
  <c r="ES188" i="10"/>
  <c r="EF188" i="10"/>
  <c r="DR188" i="10"/>
  <c r="DE188" i="10"/>
  <c r="CR188" i="10"/>
  <c r="CD188" i="10"/>
  <c r="BQ188" i="10"/>
  <c r="BD188" i="10"/>
  <c r="AP188" i="10"/>
  <c r="AC188" i="10"/>
  <c r="P188" i="10"/>
  <c r="FF187" i="10"/>
  <c r="ES187" i="10"/>
  <c r="EF187" i="10"/>
  <c r="DR187" i="10"/>
  <c r="DE187" i="10"/>
  <c r="CR187" i="10"/>
  <c r="CD187" i="10"/>
  <c r="BQ187" i="10"/>
  <c r="BD187" i="10"/>
  <c r="AP187" i="10"/>
  <c r="AC187" i="10"/>
  <c r="P187" i="10"/>
  <c r="FF186" i="10"/>
  <c r="ES186" i="10"/>
  <c r="EF186" i="10"/>
  <c r="DR186" i="10"/>
  <c r="DE186" i="10"/>
  <c r="CR186" i="10"/>
  <c r="CD186" i="10"/>
  <c r="BQ186" i="10"/>
  <c r="BD186" i="10"/>
  <c r="AP186" i="10"/>
  <c r="AC186" i="10"/>
  <c r="P186" i="10"/>
  <c r="FF185" i="10"/>
  <c r="ES185" i="10"/>
  <c r="EF185" i="10"/>
  <c r="DR185" i="10"/>
  <c r="DE185" i="10"/>
  <c r="CR185" i="10"/>
  <c r="CD185" i="10"/>
  <c r="BQ185" i="10"/>
  <c r="BD185" i="10"/>
  <c r="AP185" i="10"/>
  <c r="AC185" i="10"/>
  <c r="P185" i="10"/>
  <c r="FF184" i="10"/>
  <c r="ES184" i="10"/>
  <c r="EF184" i="10"/>
  <c r="DR184" i="10"/>
  <c r="DE184" i="10"/>
  <c r="CR184" i="10"/>
  <c r="CD184" i="10"/>
  <c r="BQ184" i="10"/>
  <c r="BD184" i="10"/>
  <c r="AP184" i="10"/>
  <c r="AC184" i="10"/>
  <c r="P184" i="10"/>
  <c r="FF183" i="10"/>
  <c r="ES183" i="10"/>
  <c r="EF183" i="10"/>
  <c r="DR183" i="10"/>
  <c r="DE183" i="10"/>
  <c r="CR183" i="10"/>
  <c r="CD183" i="10"/>
  <c r="BQ183" i="10"/>
  <c r="BD183" i="10"/>
  <c r="AP183" i="10"/>
  <c r="AC183" i="10"/>
  <c r="P183" i="10"/>
  <c r="FF182" i="10"/>
  <c r="ES182" i="10"/>
  <c r="EF182" i="10"/>
  <c r="DR182" i="10"/>
  <c r="DE182" i="10"/>
  <c r="CR182" i="10"/>
  <c r="CD182" i="10"/>
  <c r="BQ182" i="10"/>
  <c r="BD182" i="10"/>
  <c r="AP182" i="10"/>
  <c r="AC182" i="10"/>
  <c r="P182" i="10"/>
  <c r="FF181" i="10"/>
  <c r="ES181" i="10"/>
  <c r="EF181" i="10"/>
  <c r="DR181" i="10"/>
  <c r="DE181" i="10"/>
  <c r="CR181" i="10"/>
  <c r="CD181" i="10"/>
  <c r="BQ181" i="10"/>
  <c r="BD181" i="10"/>
  <c r="AP181" i="10"/>
  <c r="AC181" i="10"/>
  <c r="P181" i="10"/>
  <c r="FF180" i="10"/>
  <c r="ES180" i="10"/>
  <c r="EF180" i="10"/>
  <c r="DR180" i="10"/>
  <c r="DE180" i="10"/>
  <c r="CR180" i="10"/>
  <c r="CD180" i="10"/>
  <c r="BQ180" i="10"/>
  <c r="BD180" i="10"/>
  <c r="AP180" i="10"/>
  <c r="AC180" i="10"/>
  <c r="P180" i="10"/>
  <c r="FF179" i="10"/>
  <c r="ES179" i="10"/>
  <c r="EF179" i="10"/>
  <c r="DR179" i="10"/>
  <c r="CR179" i="10"/>
  <c r="CD179" i="10"/>
  <c r="BQ179" i="10"/>
  <c r="BD179" i="10"/>
  <c r="CE179" i="10" s="1"/>
  <c r="AP179" i="10"/>
  <c r="AC179" i="10"/>
  <c r="P179" i="10"/>
  <c r="FF178" i="10"/>
  <c r="ES178" i="10"/>
  <c r="EF178" i="10"/>
  <c r="DR178" i="10"/>
  <c r="DE178" i="10"/>
  <c r="CR178" i="10"/>
  <c r="CD178" i="10"/>
  <c r="BQ178" i="10"/>
  <c r="BD178" i="10"/>
  <c r="AP178" i="10"/>
  <c r="AC178" i="10"/>
  <c r="P178" i="10"/>
  <c r="FF177" i="10"/>
  <c r="ES177" i="10"/>
  <c r="EF177" i="10"/>
  <c r="DR177" i="10"/>
  <c r="DE177" i="10"/>
  <c r="CR177" i="10"/>
  <c r="CD177" i="10"/>
  <c r="BQ177" i="10"/>
  <c r="BD177" i="10"/>
  <c r="AP177" i="10"/>
  <c r="AC177" i="10"/>
  <c r="P177" i="10"/>
  <c r="FF176" i="10"/>
  <c r="ES176" i="10"/>
  <c r="EF176" i="10"/>
  <c r="DR176" i="10"/>
  <c r="DE176" i="10"/>
  <c r="CR176" i="10"/>
  <c r="CD176" i="10"/>
  <c r="BQ176" i="10"/>
  <c r="BD176" i="10"/>
  <c r="AP176" i="10"/>
  <c r="AC176" i="10"/>
  <c r="P176" i="10"/>
  <c r="FF175" i="10"/>
  <c r="ES175" i="10"/>
  <c r="EF175" i="10"/>
  <c r="DR175" i="10"/>
  <c r="DE175" i="10"/>
  <c r="CR175" i="10"/>
  <c r="CD175" i="10"/>
  <c r="BQ175" i="10"/>
  <c r="BD175" i="10"/>
  <c r="AP175" i="10"/>
  <c r="AC175" i="10"/>
  <c r="P175" i="10"/>
  <c r="FF174" i="10"/>
  <c r="ES174" i="10"/>
  <c r="EF174" i="10"/>
  <c r="DR174" i="10"/>
  <c r="DE174" i="10"/>
  <c r="CR174" i="10"/>
  <c r="CD174" i="10"/>
  <c r="BQ174" i="10"/>
  <c r="BD174" i="10"/>
  <c r="AP174" i="10"/>
  <c r="AC174" i="10"/>
  <c r="P174" i="10"/>
  <c r="FF173" i="10"/>
  <c r="ES173" i="10"/>
  <c r="EF173" i="10"/>
  <c r="DR173" i="10"/>
  <c r="DE173" i="10"/>
  <c r="CR173" i="10"/>
  <c r="CD173" i="10"/>
  <c r="BQ173" i="10"/>
  <c r="BD173" i="10"/>
  <c r="AP173" i="10"/>
  <c r="AC173" i="10"/>
  <c r="P173" i="10"/>
  <c r="FF172" i="10"/>
  <c r="ES172" i="10"/>
  <c r="EF172" i="10"/>
  <c r="DR172" i="10"/>
  <c r="DE172" i="10"/>
  <c r="CR172" i="10"/>
  <c r="CD172" i="10"/>
  <c r="BQ172" i="10"/>
  <c r="BD172" i="10"/>
  <c r="AP172" i="10"/>
  <c r="AC172" i="10"/>
  <c r="P172" i="10"/>
  <c r="FF171" i="10"/>
  <c r="ES171" i="10"/>
  <c r="EF171" i="10"/>
  <c r="DR171" i="10"/>
  <c r="DE171" i="10"/>
  <c r="CR171" i="10"/>
  <c r="CD171" i="10"/>
  <c r="BQ171" i="10"/>
  <c r="BD171" i="10"/>
  <c r="AP171" i="10"/>
  <c r="AC171" i="10"/>
  <c r="P171" i="10"/>
  <c r="FF170" i="10"/>
  <c r="ES170" i="10"/>
  <c r="EF170" i="10"/>
  <c r="DR170" i="10"/>
  <c r="DE170" i="10"/>
  <c r="CR170" i="10"/>
  <c r="CD170" i="10"/>
  <c r="BQ170" i="10"/>
  <c r="BD170" i="10"/>
  <c r="AP170" i="10"/>
  <c r="AC170" i="10"/>
  <c r="P170" i="10"/>
  <c r="FF169" i="10"/>
  <c r="ES169" i="10"/>
  <c r="EF169" i="10"/>
  <c r="DR169" i="10"/>
  <c r="CX197" i="10"/>
  <c r="CX240" i="10" s="1"/>
  <c r="CR169" i="10"/>
  <c r="CD169" i="10"/>
  <c r="BQ169" i="10"/>
  <c r="BD169" i="10"/>
  <c r="AP169" i="10"/>
  <c r="AC169" i="10"/>
  <c r="P169" i="10"/>
  <c r="FF168" i="10"/>
  <c r="ES168" i="10"/>
  <c r="EF168" i="10"/>
  <c r="DR168" i="10"/>
  <c r="DE168" i="10"/>
  <c r="CR168" i="10"/>
  <c r="CD168" i="10"/>
  <c r="BQ168" i="10"/>
  <c r="BD168" i="10"/>
  <c r="AP168" i="10"/>
  <c r="AC168" i="10"/>
  <c r="P168" i="10"/>
  <c r="FF167" i="10"/>
  <c r="ES167" i="10"/>
  <c r="EF167" i="10"/>
  <c r="DR167" i="10"/>
  <c r="DE167" i="10"/>
  <c r="CR167" i="10"/>
  <c r="CD167" i="10"/>
  <c r="BQ167" i="10"/>
  <c r="BD167" i="10"/>
  <c r="AP167" i="10"/>
  <c r="AC167" i="10"/>
  <c r="P167" i="10"/>
  <c r="FF166" i="10"/>
  <c r="ES166" i="10"/>
  <c r="EF166" i="10"/>
  <c r="DR166" i="10"/>
  <c r="DE166" i="10"/>
  <c r="CR166" i="10"/>
  <c r="CD166" i="10"/>
  <c r="BQ166" i="10"/>
  <c r="BD166" i="10"/>
  <c r="AP166" i="10"/>
  <c r="AC166" i="10"/>
  <c r="P166" i="10"/>
  <c r="AQ166" i="10" s="1"/>
  <c r="FF165" i="10"/>
  <c r="ES165" i="10"/>
  <c r="EF165" i="10"/>
  <c r="DR165" i="10"/>
  <c r="DE165" i="10"/>
  <c r="CR165" i="10"/>
  <c r="CD165" i="10"/>
  <c r="BQ165" i="10"/>
  <c r="BD165" i="10"/>
  <c r="AP165" i="10"/>
  <c r="AC165" i="10"/>
  <c r="P165" i="10"/>
  <c r="FF164" i="10"/>
  <c r="ES164" i="10"/>
  <c r="EF164" i="10"/>
  <c r="DR164" i="10"/>
  <c r="CR164" i="10"/>
  <c r="CD164" i="10"/>
  <c r="BQ164" i="10"/>
  <c r="BD164" i="10"/>
  <c r="AP164" i="10"/>
  <c r="AC164" i="10"/>
  <c r="P164" i="10"/>
  <c r="FF163" i="10"/>
  <c r="ES163" i="10"/>
  <c r="EF163" i="10"/>
  <c r="DR163" i="10"/>
  <c r="DE163" i="10"/>
  <c r="CR163" i="10"/>
  <c r="CD163" i="10"/>
  <c r="BQ163" i="10"/>
  <c r="BD163" i="10"/>
  <c r="AP163" i="10"/>
  <c r="AC163" i="10"/>
  <c r="P163" i="10"/>
  <c r="FF162" i="10"/>
  <c r="ES162" i="10"/>
  <c r="EF162" i="10"/>
  <c r="DR162" i="10"/>
  <c r="CR162" i="10"/>
  <c r="CD162" i="10"/>
  <c r="BQ162" i="10"/>
  <c r="BD162" i="10"/>
  <c r="AP162" i="10"/>
  <c r="AC162" i="10"/>
  <c r="P162" i="10"/>
  <c r="FF161" i="10"/>
  <c r="ES161" i="10"/>
  <c r="EF161" i="10"/>
  <c r="DR161" i="10"/>
  <c r="DE161" i="10"/>
  <c r="CR161" i="10"/>
  <c r="CD161" i="10"/>
  <c r="BQ161" i="10"/>
  <c r="BD161" i="10"/>
  <c r="AP161" i="10"/>
  <c r="AC161" i="10"/>
  <c r="P161" i="10"/>
  <c r="FF160" i="10"/>
  <c r="ES160" i="10"/>
  <c r="EF160" i="10"/>
  <c r="DR160" i="10"/>
  <c r="DE160" i="10"/>
  <c r="CR160" i="10"/>
  <c r="CD160" i="10"/>
  <c r="BQ160" i="10"/>
  <c r="BD160" i="10"/>
  <c r="AP160" i="10"/>
  <c r="AC160" i="10"/>
  <c r="P160" i="10"/>
  <c r="FF159" i="10"/>
  <c r="ES159" i="10"/>
  <c r="EF159" i="10"/>
  <c r="DR159" i="10"/>
  <c r="DE159" i="10"/>
  <c r="CR159" i="10"/>
  <c r="CD159" i="10"/>
  <c r="BQ159" i="10"/>
  <c r="BD159" i="10"/>
  <c r="AP159" i="10"/>
  <c r="AC159" i="10"/>
  <c r="P159" i="10"/>
  <c r="FF158" i="10"/>
  <c r="ES158" i="10"/>
  <c r="EF158" i="10"/>
  <c r="DR158" i="10"/>
  <c r="CU197" i="10"/>
  <c r="DE158" i="10"/>
  <c r="CR158" i="10"/>
  <c r="CD158" i="10"/>
  <c r="BQ158" i="10"/>
  <c r="BD158" i="10"/>
  <c r="AP158" i="10"/>
  <c r="AC158" i="10"/>
  <c r="P158" i="10"/>
  <c r="FF157" i="10"/>
  <c r="ES157" i="10"/>
  <c r="EF157" i="10"/>
  <c r="DR157" i="10"/>
  <c r="CS197" i="10"/>
  <c r="CR157" i="10"/>
  <c r="CD157" i="10"/>
  <c r="BQ157" i="10"/>
  <c r="BD157" i="10"/>
  <c r="AP157" i="10"/>
  <c r="AC157" i="10"/>
  <c r="P157" i="10"/>
  <c r="FF156" i="10"/>
  <c r="ES156" i="10"/>
  <c r="EF156" i="10"/>
  <c r="DR156" i="10"/>
  <c r="DE156" i="10"/>
  <c r="CR156" i="10"/>
  <c r="CD156" i="10"/>
  <c r="BQ156" i="10"/>
  <c r="BD156" i="10"/>
  <c r="AP156" i="10"/>
  <c r="AC156" i="10"/>
  <c r="P156" i="10"/>
  <c r="AQ173" i="10" l="1"/>
  <c r="FG198" i="10"/>
  <c r="FG199" i="10"/>
  <c r="FG203" i="10"/>
  <c r="FO198" i="15"/>
  <c r="FO174" i="15"/>
  <c r="AQ163" i="10"/>
  <c r="DY240" i="10"/>
  <c r="BD197" i="10"/>
  <c r="AQ168" i="10"/>
  <c r="AQ172" i="10"/>
  <c r="FO162" i="15"/>
  <c r="CE175" i="10"/>
  <c r="CE177" i="10"/>
  <c r="CE187" i="10"/>
  <c r="AQ196" i="10"/>
  <c r="DS196" i="10"/>
  <c r="P219" i="10"/>
  <c r="AQ218" i="10"/>
  <c r="DS218" i="10"/>
  <c r="FG220" i="10"/>
  <c r="FO221" i="15"/>
  <c r="EA240" i="10"/>
  <c r="AQ198" i="10"/>
  <c r="FH198" i="10" s="1"/>
  <c r="AQ170" i="10"/>
  <c r="FO186" i="15"/>
  <c r="AQ181" i="10"/>
  <c r="AQ189" i="10"/>
  <c r="FO190" i="15"/>
  <c r="FO178" i="15"/>
  <c r="FO166" i="15"/>
  <c r="FO151" i="15"/>
  <c r="FM245" i="15"/>
  <c r="FO217" i="15"/>
  <c r="FO213" i="15"/>
  <c r="FN224" i="15"/>
  <c r="FO209" i="15"/>
  <c r="DL245" i="15"/>
  <c r="DH153" i="15"/>
  <c r="FO147" i="15"/>
  <c r="FO111" i="15"/>
  <c r="DL25" i="15"/>
  <c r="DZ25" i="15" s="1"/>
  <c r="FO226" i="15"/>
  <c r="FO238" i="15"/>
  <c r="FO234" i="15"/>
  <c r="FO230" i="15"/>
  <c r="FO218" i="15"/>
  <c r="FO222" i="15"/>
  <c r="FO220" i="15"/>
  <c r="FO197" i="15"/>
  <c r="FO193" i="15"/>
  <c r="FO189" i="15"/>
  <c r="FO185" i="15"/>
  <c r="FO181" i="15"/>
  <c r="FO177" i="15"/>
  <c r="FO173" i="15"/>
  <c r="FO169" i="15"/>
  <c r="FO165" i="15"/>
  <c r="FO112" i="15"/>
  <c r="FN244" i="15"/>
  <c r="FO243" i="15"/>
  <c r="FO242" i="15"/>
  <c r="FO235" i="15"/>
  <c r="FO227" i="15"/>
  <c r="FO223" i="15"/>
  <c r="FO211" i="15"/>
  <c r="FO200" i="15"/>
  <c r="FO168" i="15"/>
  <c r="CL129" i="15"/>
  <c r="FO125" i="15"/>
  <c r="CU153" i="15"/>
  <c r="DL122" i="15"/>
  <c r="DZ122" i="15" s="1"/>
  <c r="FO65" i="15"/>
  <c r="DL152" i="15"/>
  <c r="DZ152" i="15" s="1"/>
  <c r="FN152" i="15"/>
  <c r="W122" i="15"/>
  <c r="W153" i="15" s="1"/>
  <c r="DL73" i="15"/>
  <c r="DZ73" i="15" s="1"/>
  <c r="FO75" i="15"/>
  <c r="DC153" i="15"/>
  <c r="FG156" i="10"/>
  <c r="FG157" i="10"/>
  <c r="FG162" i="10"/>
  <c r="FG186" i="10"/>
  <c r="DS159" i="10"/>
  <c r="DS166" i="10"/>
  <c r="FO64" i="15"/>
  <c r="CL152" i="15"/>
  <c r="FO138" i="15"/>
  <c r="AX152" i="15"/>
  <c r="DB153" i="15"/>
  <c r="FO126" i="15"/>
  <c r="FO143" i="15"/>
  <c r="FO91" i="15"/>
  <c r="FO139" i="15"/>
  <c r="FO109" i="15"/>
  <c r="FO105" i="15"/>
  <c r="FO13" i="15"/>
  <c r="FO10" i="15"/>
  <c r="FO145" i="15"/>
  <c r="FO141" i="15"/>
  <c r="FO134" i="15"/>
  <c r="FO146" i="15"/>
  <c r="FO104" i="15"/>
  <c r="AX100" i="15"/>
  <c r="FO142" i="15"/>
  <c r="FO137" i="15"/>
  <c r="FO133" i="15"/>
  <c r="FO130" i="15"/>
  <c r="FO128" i="15"/>
  <c r="FO121" i="15"/>
  <c r="FO119" i="15"/>
  <c r="FO113" i="15"/>
  <c r="FO108" i="15"/>
  <c r="FO106" i="15"/>
  <c r="FO102" i="15"/>
  <c r="FO74" i="15"/>
  <c r="FO39" i="15"/>
  <c r="FO37" i="15"/>
  <c r="FO17" i="15"/>
  <c r="FO59" i="15"/>
  <c r="FO56" i="15"/>
  <c r="FO54" i="15"/>
  <c r="FO52" i="15"/>
  <c r="FO45" i="15"/>
  <c r="FO103" i="15"/>
  <c r="FO117" i="15"/>
  <c r="FO116" i="15"/>
  <c r="FO115" i="15"/>
  <c r="FO114" i="15"/>
  <c r="FO107" i="15"/>
  <c r="FO86" i="15"/>
  <c r="FO144" i="15"/>
  <c r="FN129" i="15"/>
  <c r="FO78" i="15"/>
  <c r="FO110" i="15"/>
  <c r="FN100" i="15"/>
  <c r="CL100" i="15"/>
  <c r="FN95" i="15"/>
  <c r="AX95" i="15"/>
  <c r="FO89" i="15"/>
  <c r="FO85" i="15"/>
  <c r="FO81" i="15"/>
  <c r="FO40" i="15"/>
  <c r="FO31" i="15"/>
  <c r="FO135" i="15"/>
  <c r="FO118" i="15"/>
  <c r="FO8" i="15"/>
  <c r="FO123" i="15"/>
  <c r="FO136" i="15"/>
  <c r="FO101" i="15"/>
  <c r="FO99" i="15"/>
  <c r="FO97" i="15"/>
  <c r="FO96" i="15"/>
  <c r="FO94" i="15"/>
  <c r="FO93" i="15"/>
  <c r="FO88" i="15"/>
  <c r="FO82" i="15"/>
  <c r="DZ95" i="15"/>
  <c r="FO62" i="15"/>
  <c r="FO30" i="15"/>
  <c r="FO18" i="15"/>
  <c r="FO47" i="15"/>
  <c r="FO42" i="15"/>
  <c r="FO34" i="15"/>
  <c r="FO84" i="15"/>
  <c r="FO55" i="15"/>
  <c r="FO51" i="15"/>
  <c r="FO27" i="15"/>
  <c r="FO29" i="15"/>
  <c r="FO77" i="15"/>
  <c r="FO57" i="15"/>
  <c r="FO50" i="15"/>
  <c r="FO44" i="15"/>
  <c r="FO38" i="15"/>
  <c r="FO33" i="15"/>
  <c r="FO15" i="15"/>
  <c r="FO11" i="15"/>
  <c r="FN73" i="15"/>
  <c r="FO6" i="15"/>
  <c r="FO80" i="15"/>
  <c r="FO76" i="15"/>
  <c r="FO72" i="15"/>
  <c r="FO63" i="15"/>
  <c r="FO61" i="15"/>
  <c r="FO32" i="15"/>
  <c r="FO28" i="15"/>
  <c r="FO26" i="15"/>
  <c r="FO21" i="15"/>
  <c r="FO58" i="15"/>
  <c r="FO49" i="15"/>
  <c r="FO48" i="15"/>
  <c r="CL73" i="15"/>
  <c r="FO53" i="15"/>
  <c r="FO46" i="15"/>
  <c r="FO43" i="15"/>
  <c r="FO36" i="15"/>
  <c r="FO12" i="15"/>
  <c r="FO14" i="15"/>
  <c r="FO19" i="15"/>
  <c r="CL244" i="15"/>
  <c r="FO241" i="15"/>
  <c r="FO237" i="15"/>
  <c r="FO233" i="15"/>
  <c r="FO229" i="15"/>
  <c r="FO41" i="15"/>
  <c r="DE153" i="15"/>
  <c r="AX244" i="15"/>
  <c r="DZ224" i="15"/>
  <c r="AX224" i="15"/>
  <c r="EZ245" i="15"/>
  <c r="BX245" i="15"/>
  <c r="FO140" i="15"/>
  <c r="FO22" i="15"/>
  <c r="FO132" i="15"/>
  <c r="AX129" i="15"/>
  <c r="FO124" i="15"/>
  <c r="EM122" i="15"/>
  <c r="FN122" i="15" s="1"/>
  <c r="FO120" i="15"/>
  <c r="DZ100" i="15"/>
  <c r="CL95" i="15"/>
  <c r="FO92" i="15"/>
  <c r="FO87" i="15"/>
  <c r="FO83" i="15"/>
  <c r="FO79" i="15"/>
  <c r="DY153" i="15"/>
  <c r="AX73" i="15"/>
  <c r="FO60" i="15"/>
  <c r="FO20" i="15"/>
  <c r="FO16" i="15"/>
  <c r="FO9" i="15"/>
  <c r="FO7" i="15"/>
  <c r="FO131" i="15"/>
  <c r="CL122" i="15"/>
  <c r="FO98" i="15"/>
  <c r="FO199" i="15"/>
  <c r="FO195" i="15"/>
  <c r="FO191" i="15"/>
  <c r="FO187" i="15"/>
  <c r="FO183" i="15"/>
  <c r="FO179" i="15"/>
  <c r="FO175" i="15"/>
  <c r="FO171" i="15"/>
  <c r="FO167" i="15"/>
  <c r="FO163" i="15"/>
  <c r="FO236" i="15"/>
  <c r="FO228" i="15"/>
  <c r="FO196" i="15"/>
  <c r="FO192" i="15"/>
  <c r="FO188" i="15"/>
  <c r="FO184" i="15"/>
  <c r="FO180" i="15"/>
  <c r="FO176" i="15"/>
  <c r="FO172" i="15"/>
  <c r="FO164" i="15"/>
  <c r="FO219" i="15"/>
  <c r="FO215" i="15"/>
  <c r="FO207" i="15"/>
  <c r="FO239" i="15"/>
  <c r="FO231" i="15"/>
  <c r="FO225" i="15"/>
  <c r="FO35" i="15"/>
  <c r="FO24" i="15"/>
  <c r="FO5" i="15"/>
  <c r="FM153" i="15"/>
  <c r="FO216" i="15"/>
  <c r="FO208" i="15"/>
  <c r="FO214" i="15"/>
  <c r="CL224" i="15"/>
  <c r="FO204" i="15"/>
  <c r="FO210" i="15"/>
  <c r="FO206" i="15"/>
  <c r="FO212" i="15"/>
  <c r="EM245" i="15"/>
  <c r="FN202" i="15"/>
  <c r="AW245" i="15"/>
  <c r="CY153" i="15"/>
  <c r="AX25" i="15"/>
  <c r="BK245" i="15"/>
  <c r="CL202" i="15"/>
  <c r="DZ129" i="15"/>
  <c r="CK153" i="15"/>
  <c r="AW153" i="15"/>
  <c r="BX153" i="15"/>
  <c r="DF153" i="15"/>
  <c r="DY245" i="15"/>
  <c r="CK245" i="15"/>
  <c r="FN25" i="15"/>
  <c r="BK153" i="15"/>
  <c r="CL25" i="15"/>
  <c r="CY245" i="15"/>
  <c r="DZ202" i="15"/>
  <c r="W245" i="15"/>
  <c r="AX202" i="15"/>
  <c r="CZ153" i="15"/>
  <c r="EZ153" i="15"/>
  <c r="AJ153" i="15"/>
  <c r="AQ159" i="10"/>
  <c r="BX240" i="10"/>
  <c r="D240" i="10"/>
  <c r="F240" i="10"/>
  <c r="H240" i="10"/>
  <c r="J240" i="10"/>
  <c r="L240" i="10"/>
  <c r="N240" i="10"/>
  <c r="S240" i="10"/>
  <c r="U240" i="10"/>
  <c r="W240" i="10"/>
  <c r="Y240" i="10"/>
  <c r="AA240" i="10"/>
  <c r="AD240" i="10"/>
  <c r="AF240" i="10"/>
  <c r="AH240" i="10"/>
  <c r="AJ240" i="10"/>
  <c r="AL240" i="10"/>
  <c r="AN240" i="10"/>
  <c r="CE221" i="10"/>
  <c r="AQ222" i="10"/>
  <c r="FG222" i="10"/>
  <c r="FG224" i="10"/>
  <c r="CE227" i="10"/>
  <c r="AQ228" i="10"/>
  <c r="CE229" i="10"/>
  <c r="FG230" i="10"/>
  <c r="AQ232" i="10"/>
  <c r="AQ238" i="10"/>
  <c r="FH238" i="10" s="1"/>
  <c r="DS238" i="10"/>
  <c r="BZ240" i="10"/>
  <c r="CB240" i="10"/>
  <c r="EH240" i="10"/>
  <c r="EJ240" i="10"/>
  <c r="EL240" i="10"/>
  <c r="EN240" i="10"/>
  <c r="EP240" i="10"/>
  <c r="ER240" i="10"/>
  <c r="CE201" i="10"/>
  <c r="FG201" i="10"/>
  <c r="AQ202" i="10"/>
  <c r="FG202" i="10"/>
  <c r="AQ203" i="10"/>
  <c r="FG204" i="10"/>
  <c r="AQ205" i="10"/>
  <c r="AQ207" i="10"/>
  <c r="FG207" i="10"/>
  <c r="DS208" i="10"/>
  <c r="FG209" i="10"/>
  <c r="AQ210" i="10"/>
  <c r="DS210" i="10"/>
  <c r="CE212" i="10"/>
  <c r="DS212" i="10"/>
  <c r="DS214" i="10"/>
  <c r="DS215" i="10"/>
  <c r="AQ216" i="10"/>
  <c r="DS216" i="10"/>
  <c r="CE217" i="10"/>
  <c r="FG218" i="10"/>
  <c r="AP219" i="10"/>
  <c r="ES219" i="10"/>
  <c r="BR240" i="10"/>
  <c r="BV240" i="10"/>
  <c r="DS163" i="10"/>
  <c r="FG196" i="10"/>
  <c r="CE159" i="10"/>
  <c r="AQ178" i="10"/>
  <c r="CE183" i="10"/>
  <c r="CE185" i="10"/>
  <c r="CE198" i="10"/>
  <c r="CE196" i="10"/>
  <c r="CE200" i="10"/>
  <c r="CE204" i="10"/>
  <c r="CE206" i="10"/>
  <c r="CE218" i="10"/>
  <c r="FH218" i="10" s="1"/>
  <c r="CE220" i="10"/>
  <c r="FH220" i="10" s="1"/>
  <c r="CE203" i="10"/>
  <c r="CE161" i="10"/>
  <c r="CE165" i="10"/>
  <c r="K240" i="10"/>
  <c r="M240" i="10"/>
  <c r="O240" i="10"/>
  <c r="R240" i="10"/>
  <c r="T240" i="10"/>
  <c r="V240" i="10"/>
  <c r="X240" i="10"/>
  <c r="Z240" i="10"/>
  <c r="AB240" i="10"/>
  <c r="AE240" i="10"/>
  <c r="AG240" i="10"/>
  <c r="AI240" i="10"/>
  <c r="AK240" i="10"/>
  <c r="AM240" i="10"/>
  <c r="AO240" i="10"/>
  <c r="AS240" i="10"/>
  <c r="AU240" i="10"/>
  <c r="AW240" i="10"/>
  <c r="CO240" i="10"/>
  <c r="CQ240" i="10"/>
  <c r="CE223" i="10"/>
  <c r="FG223" i="10"/>
  <c r="AQ224" i="10"/>
  <c r="CE225" i="10"/>
  <c r="FG225" i="10"/>
  <c r="AQ226" i="10"/>
  <c r="FG229" i="10"/>
  <c r="AQ230" i="10"/>
  <c r="DS230" i="10"/>
  <c r="CE233" i="10"/>
  <c r="CE235" i="10"/>
  <c r="CE209" i="10"/>
  <c r="CE210" i="10"/>
  <c r="FG210" i="10"/>
  <c r="AQ212" i="10"/>
  <c r="DS217" i="10"/>
  <c r="FG217" i="10"/>
  <c r="CE205" i="10"/>
  <c r="FG205" i="10"/>
  <c r="CS240" i="10"/>
  <c r="E240" i="10"/>
  <c r="G240" i="10"/>
  <c r="I240" i="10"/>
  <c r="AY240" i="10"/>
  <c r="BA240" i="10"/>
  <c r="BC240" i="10"/>
  <c r="CG240" i="10"/>
  <c r="CI240" i="10"/>
  <c r="CK240" i="10"/>
  <c r="CM240" i="10"/>
  <c r="CZ240" i="10"/>
  <c r="DD240" i="10"/>
  <c r="EB240" i="10"/>
  <c r="ED240" i="10"/>
  <c r="EV240" i="10"/>
  <c r="EX240" i="10"/>
  <c r="EZ240" i="10"/>
  <c r="FB240" i="10"/>
  <c r="FD240" i="10"/>
  <c r="AQ201" i="10"/>
  <c r="CE202" i="10"/>
  <c r="DS202" i="10"/>
  <c r="BQ219" i="10"/>
  <c r="AQ187" i="10"/>
  <c r="DS187" i="10"/>
  <c r="CE189" i="10"/>
  <c r="AQ191" i="10"/>
  <c r="FG191" i="10"/>
  <c r="FG192" i="10"/>
  <c r="FG194" i="10"/>
  <c r="CE168" i="10"/>
  <c r="CE170" i="10"/>
  <c r="CE172" i="10"/>
  <c r="CE173" i="10"/>
  <c r="DS174" i="10"/>
  <c r="AQ175" i="10"/>
  <c r="AQ177" i="10"/>
  <c r="DS177" i="10"/>
  <c r="CE178" i="10"/>
  <c r="AQ179" i="10"/>
  <c r="FG179" i="10"/>
  <c r="CE181" i="10"/>
  <c r="FG182" i="10"/>
  <c r="AQ183" i="10"/>
  <c r="DS183" i="10"/>
  <c r="FG184" i="10"/>
  <c r="AQ185" i="10"/>
  <c r="DS185" i="10"/>
  <c r="EF197" i="10"/>
  <c r="ES197" i="10"/>
  <c r="CN240" i="10"/>
  <c r="BG240" i="10"/>
  <c r="BI240" i="10"/>
  <c r="BK240" i="10"/>
  <c r="BM240" i="10"/>
  <c r="BO240" i="10"/>
  <c r="CF240" i="10"/>
  <c r="CJ240" i="10"/>
  <c r="AQ161" i="10"/>
  <c r="CE163" i="10"/>
  <c r="AQ165" i="10"/>
  <c r="CE166" i="10"/>
  <c r="AC197" i="10"/>
  <c r="BS240" i="10"/>
  <c r="BU240" i="10"/>
  <c r="BW240" i="10"/>
  <c r="BY240" i="10"/>
  <c r="CA240" i="10"/>
  <c r="CC240" i="10"/>
  <c r="CP240" i="10"/>
  <c r="CU240" i="10"/>
  <c r="DI240" i="10"/>
  <c r="DM240" i="10"/>
  <c r="DQ240" i="10"/>
  <c r="CW240" i="10"/>
  <c r="DG240" i="10"/>
  <c r="DK240" i="10"/>
  <c r="DO240" i="10"/>
  <c r="EU240" i="10"/>
  <c r="EW240" i="10"/>
  <c r="EY240" i="10"/>
  <c r="FA240" i="10"/>
  <c r="FC240" i="10"/>
  <c r="FE240" i="10"/>
  <c r="FF219" i="10"/>
  <c r="FG158" i="10"/>
  <c r="FG161" i="10"/>
  <c r="FG165" i="10"/>
  <c r="FG166" i="10"/>
  <c r="FG168" i="10"/>
  <c r="FG170" i="10"/>
  <c r="FG173" i="10"/>
  <c r="FG174" i="10"/>
  <c r="FG176" i="10"/>
  <c r="FG178" i="10"/>
  <c r="FG190" i="10"/>
  <c r="FF197" i="10"/>
  <c r="ET240" i="10"/>
  <c r="FG226" i="10"/>
  <c r="FG228" i="10"/>
  <c r="FG233" i="10"/>
  <c r="FG235" i="10"/>
  <c r="FG236" i="10"/>
  <c r="ES239" i="10"/>
  <c r="ES240" i="10" s="1"/>
  <c r="EI240" i="10"/>
  <c r="EK240" i="10"/>
  <c r="EM240" i="10"/>
  <c r="EO240" i="10"/>
  <c r="EQ240" i="10"/>
  <c r="FG200" i="10"/>
  <c r="FG211" i="10"/>
  <c r="FG212" i="10"/>
  <c r="FG216" i="10"/>
  <c r="EG240" i="10"/>
  <c r="FG159" i="10"/>
  <c r="FG160" i="10"/>
  <c r="FG164" i="10"/>
  <c r="FG167" i="10"/>
  <c r="FG169" i="10"/>
  <c r="FG171" i="10"/>
  <c r="FG172" i="10"/>
  <c r="FG175" i="10"/>
  <c r="FG177" i="10"/>
  <c r="FG189" i="10"/>
  <c r="FG221" i="10"/>
  <c r="FG227" i="10"/>
  <c r="FG231" i="10"/>
  <c r="FG232" i="10"/>
  <c r="FG234" i="10"/>
  <c r="FG237" i="10"/>
  <c r="EC240" i="10"/>
  <c r="EE240" i="10"/>
  <c r="FG208" i="10"/>
  <c r="FG213" i="10"/>
  <c r="FG214" i="10"/>
  <c r="FG215" i="10"/>
  <c r="DT240" i="10"/>
  <c r="FG163" i="10"/>
  <c r="FG180" i="10"/>
  <c r="FG181" i="10"/>
  <c r="FG183" i="10"/>
  <c r="FG185" i="10"/>
  <c r="FG187" i="10"/>
  <c r="FG188" i="10"/>
  <c r="FG193" i="10"/>
  <c r="DS226" i="10"/>
  <c r="DS234" i="10"/>
  <c r="DS237" i="10"/>
  <c r="DF240" i="10"/>
  <c r="DH240" i="10"/>
  <c r="DJ240" i="10"/>
  <c r="DL240" i="10"/>
  <c r="DN240" i="10"/>
  <c r="DP240" i="10"/>
  <c r="DS203" i="10"/>
  <c r="DS205" i="10"/>
  <c r="DS213" i="10"/>
  <c r="DS161" i="10"/>
  <c r="DS165" i="10"/>
  <c r="DS168" i="10"/>
  <c r="DS170" i="10"/>
  <c r="DS173" i="10"/>
  <c r="DS178" i="10"/>
  <c r="DS228" i="10"/>
  <c r="DS232" i="10"/>
  <c r="DS236" i="10"/>
  <c r="CT240" i="10"/>
  <c r="DA240" i="10"/>
  <c r="DC240" i="10"/>
  <c r="DS156" i="10"/>
  <c r="DS181" i="10"/>
  <c r="DS188" i="10"/>
  <c r="DS192" i="10"/>
  <c r="DS194" i="10"/>
  <c r="CH240" i="10"/>
  <c r="CL240" i="10"/>
  <c r="DS223" i="10"/>
  <c r="DS227" i="10"/>
  <c r="DS158" i="10"/>
  <c r="DS176" i="10"/>
  <c r="DS180" i="10"/>
  <c r="DS190" i="10"/>
  <c r="DS193" i="10"/>
  <c r="DS195" i="10"/>
  <c r="CR197" i="10"/>
  <c r="CE231" i="10"/>
  <c r="BF240" i="10"/>
  <c r="BH240" i="10"/>
  <c r="BJ240" i="10"/>
  <c r="BL240" i="10"/>
  <c r="BN240" i="10"/>
  <c r="BP240" i="10"/>
  <c r="CE222" i="10"/>
  <c r="CE224" i="10"/>
  <c r="CE226" i="10"/>
  <c r="CE228" i="10"/>
  <c r="CE230" i="10"/>
  <c r="CE232" i="10"/>
  <c r="CE199" i="10"/>
  <c r="FH199" i="10" s="1"/>
  <c r="CE207" i="10"/>
  <c r="CE211" i="10"/>
  <c r="CE214" i="10"/>
  <c r="CE216" i="10"/>
  <c r="BE240" i="10"/>
  <c r="CE156" i="10"/>
  <c r="CE162" i="10"/>
  <c r="CE164" i="10"/>
  <c r="CE167" i="10"/>
  <c r="CE169" i="10"/>
  <c r="CE171" i="10"/>
  <c r="CE174" i="10"/>
  <c r="CE182" i="10"/>
  <c r="CE184" i="10"/>
  <c r="CE186" i="10"/>
  <c r="CE188" i="10"/>
  <c r="CE194" i="10"/>
  <c r="BQ197" i="10"/>
  <c r="CE237" i="10"/>
  <c r="AZ240" i="10"/>
  <c r="BB240" i="10"/>
  <c r="CE234" i="10"/>
  <c r="CE236" i="10"/>
  <c r="AT240" i="10"/>
  <c r="AV240" i="10"/>
  <c r="AX240" i="10"/>
  <c r="CE208" i="10"/>
  <c r="CE213" i="10"/>
  <c r="AR240" i="10"/>
  <c r="CE157" i="10"/>
  <c r="CE158" i="10"/>
  <c r="CE160" i="10"/>
  <c r="CE176" i="10"/>
  <c r="CE180" i="10"/>
  <c r="CE190" i="10"/>
  <c r="CE192" i="10"/>
  <c r="CE193" i="10"/>
  <c r="CE195" i="10"/>
  <c r="AQ221" i="10"/>
  <c r="AQ223" i="10"/>
  <c r="AQ225" i="10"/>
  <c r="AQ227" i="10"/>
  <c r="AQ229" i="10"/>
  <c r="AQ231" i="10"/>
  <c r="AQ233" i="10"/>
  <c r="AQ235" i="10"/>
  <c r="AQ200" i="10"/>
  <c r="AQ204" i="10"/>
  <c r="AQ206" i="10"/>
  <c r="AQ209" i="10"/>
  <c r="AQ211" i="10"/>
  <c r="AQ214" i="10"/>
  <c r="AQ215" i="10"/>
  <c r="AC219" i="10"/>
  <c r="Q240" i="10"/>
  <c r="AQ156" i="10"/>
  <c r="AQ162" i="10"/>
  <c r="AQ164" i="10"/>
  <c r="AQ167" i="10"/>
  <c r="AQ169" i="10"/>
  <c r="AQ171" i="10"/>
  <c r="AQ174" i="10"/>
  <c r="AQ182" i="10"/>
  <c r="AQ184" i="10"/>
  <c r="AQ186" i="10"/>
  <c r="AQ188" i="10"/>
  <c r="AQ194" i="10"/>
  <c r="AQ234" i="10"/>
  <c r="AQ236" i="10"/>
  <c r="AQ237" i="10"/>
  <c r="DE239" i="10"/>
  <c r="DE221" i="10"/>
  <c r="DS221" i="10" s="1"/>
  <c r="DE225" i="10"/>
  <c r="DS225" i="10" s="1"/>
  <c r="DS222" i="10"/>
  <c r="DS224" i="10"/>
  <c r="DS233" i="10"/>
  <c r="DS235" i="10"/>
  <c r="DE229" i="10"/>
  <c r="DS229" i="10" s="1"/>
  <c r="DE231" i="10"/>
  <c r="DS231" i="10" s="1"/>
  <c r="AC239" i="10"/>
  <c r="BQ239" i="10"/>
  <c r="DR239" i="10"/>
  <c r="FF239" i="10"/>
  <c r="P239" i="10"/>
  <c r="AP239" i="10"/>
  <c r="BD239" i="10"/>
  <c r="CD239" i="10"/>
  <c r="CR239" i="10"/>
  <c r="EF239" i="10"/>
  <c r="AQ208" i="10"/>
  <c r="AQ213" i="10"/>
  <c r="AQ217" i="10"/>
  <c r="FH217" i="10" s="1"/>
  <c r="DB219" i="10"/>
  <c r="DB240" i="10" s="1"/>
  <c r="DE201" i="10"/>
  <c r="DS201" i="10" s="1"/>
  <c r="CR219" i="10"/>
  <c r="DS200" i="10"/>
  <c r="DS204" i="10"/>
  <c r="DS206" i="10"/>
  <c r="DZ219" i="10"/>
  <c r="DZ240" i="10" s="1"/>
  <c r="EF206" i="10"/>
  <c r="FG206" i="10" s="1"/>
  <c r="DE207" i="10"/>
  <c r="DS207" i="10" s="1"/>
  <c r="DE209" i="10"/>
  <c r="DS209" i="10" s="1"/>
  <c r="DE211" i="10"/>
  <c r="DS211" i="10" s="1"/>
  <c r="BD215" i="10"/>
  <c r="CE215" i="10" s="1"/>
  <c r="BD219" i="10"/>
  <c r="CD219" i="10"/>
  <c r="CY219" i="10"/>
  <c r="DR219" i="10"/>
  <c r="AQ157" i="10"/>
  <c r="AQ158" i="10"/>
  <c r="AQ160" i="10"/>
  <c r="AQ176" i="10"/>
  <c r="AQ180" i="10"/>
  <c r="AQ190" i="10"/>
  <c r="AQ192" i="10"/>
  <c r="AQ193" i="10"/>
  <c r="AQ195" i="10"/>
  <c r="P197" i="10"/>
  <c r="DE157" i="10"/>
  <c r="DS157" i="10" s="1"/>
  <c r="DS160" i="10"/>
  <c r="DE162" i="10"/>
  <c r="DS162" i="10" s="1"/>
  <c r="DE164" i="10"/>
  <c r="DS164" i="10" s="1"/>
  <c r="DS167" i="10"/>
  <c r="DS171" i="10"/>
  <c r="CV197" i="10"/>
  <c r="CV240" i="10" s="1"/>
  <c r="DE169" i="10"/>
  <c r="DS169" i="10" s="1"/>
  <c r="DS172" i="10"/>
  <c r="DS175" i="10"/>
  <c r="DE179" i="10"/>
  <c r="DS179" i="10" s="1"/>
  <c r="DS182" i="10"/>
  <c r="DS184" i="10"/>
  <c r="DS186" i="10"/>
  <c r="DE189" i="10"/>
  <c r="DS189" i="10" s="1"/>
  <c r="DE191" i="10"/>
  <c r="DS191" i="10" s="1"/>
  <c r="FH191" i="10" s="1"/>
  <c r="AP197" i="10"/>
  <c r="CD197" i="10"/>
  <c r="DR197" i="10"/>
  <c r="EF195" i="10"/>
  <c r="FG195" i="10" s="1"/>
  <c r="EF219" i="10" l="1"/>
  <c r="EF240" i="10" s="1"/>
  <c r="CE197" i="10"/>
  <c r="FH159" i="10"/>
  <c r="FN245" i="15"/>
  <c r="DE219" i="10"/>
  <c r="EM153" i="15"/>
  <c r="FH233" i="10"/>
  <c r="FH216" i="10"/>
  <c r="FH196" i="10"/>
  <c r="FO100" i="15"/>
  <c r="DL153" i="15"/>
  <c r="FO244" i="15"/>
  <c r="FO224" i="15"/>
  <c r="FO152" i="15"/>
  <c r="AX122" i="15"/>
  <c r="AX153" i="15" s="1"/>
  <c r="FO95" i="15"/>
  <c r="FH222" i="10"/>
  <c r="FH223" i="10"/>
  <c r="FH202" i="10"/>
  <c r="FH210" i="10"/>
  <c r="FH165" i="10"/>
  <c r="FH185" i="10"/>
  <c r="FH203" i="10"/>
  <c r="FO73" i="15"/>
  <c r="FN153" i="15"/>
  <c r="FO129" i="15"/>
  <c r="FO122" i="15"/>
  <c r="DZ245" i="15"/>
  <c r="CL153" i="15"/>
  <c r="DZ153" i="15"/>
  <c r="CL245" i="15"/>
  <c r="AX245" i="15"/>
  <c r="FO202" i="15"/>
  <c r="FO25" i="15"/>
  <c r="AP240" i="10"/>
  <c r="P240" i="10"/>
  <c r="FH201" i="10"/>
  <c r="FH178" i="10"/>
  <c r="FH179" i="10"/>
  <c r="FH212" i="10"/>
  <c r="FH166" i="10"/>
  <c r="FH163" i="10"/>
  <c r="FH170" i="10"/>
  <c r="FH204" i="10"/>
  <c r="FH184" i="10"/>
  <c r="FH174" i="10"/>
  <c r="FH173" i="10"/>
  <c r="FH232" i="10"/>
  <c r="FH228" i="10"/>
  <c r="FH224" i="10"/>
  <c r="FH225" i="10"/>
  <c r="FH230" i="10"/>
  <c r="FH211" i="10"/>
  <c r="FH205" i="10"/>
  <c r="FH188" i="10"/>
  <c r="FH189" i="10"/>
  <c r="FH187" i="10"/>
  <c r="FH168" i="10"/>
  <c r="FH183" i="10"/>
  <c r="FH177" i="10"/>
  <c r="FH161" i="10"/>
  <c r="DE197" i="10"/>
  <c r="FH235" i="10"/>
  <c r="FH227" i="10"/>
  <c r="FF240" i="10"/>
  <c r="FH213" i="10"/>
  <c r="FH172" i="10"/>
  <c r="FH190" i="10"/>
  <c r="FG197" i="10"/>
  <c r="FH215" i="10"/>
  <c r="FH200" i="10"/>
  <c r="FH175" i="10"/>
  <c r="FH181" i="10"/>
  <c r="FH231" i="10"/>
  <c r="FH234" i="10"/>
  <c r="FH206" i="10"/>
  <c r="FH237" i="10"/>
  <c r="FH226" i="10"/>
  <c r="DS197" i="10"/>
  <c r="DR240" i="10"/>
  <c r="FH156" i="10"/>
  <c r="FH194" i="10"/>
  <c r="DE240" i="10"/>
  <c r="CY240" i="10"/>
  <c r="FH193" i="10"/>
  <c r="FH158" i="10"/>
  <c r="FH229" i="10"/>
  <c r="CR240" i="10"/>
  <c r="FH236" i="10"/>
  <c r="CE219" i="10"/>
  <c r="CD240" i="10"/>
  <c r="FH167" i="10"/>
  <c r="FH162" i="10"/>
  <c r="BQ240" i="10"/>
  <c r="FH207" i="10"/>
  <c r="FH208" i="10"/>
  <c r="FH214" i="10"/>
  <c r="FH186" i="10"/>
  <c r="FH182" i="10"/>
  <c r="FH171" i="10"/>
  <c r="FH195" i="10"/>
  <c r="FH192" i="10"/>
  <c r="FH180" i="10"/>
  <c r="BD240" i="10"/>
  <c r="FH157" i="10"/>
  <c r="FH176" i="10"/>
  <c r="FH221" i="10"/>
  <c r="AC240" i="10"/>
  <c r="FH209" i="10"/>
  <c r="AQ219" i="10"/>
  <c r="FH169" i="10"/>
  <c r="FH164" i="10"/>
  <c r="DS239" i="10"/>
  <c r="CE239" i="10"/>
  <c r="AQ239" i="10"/>
  <c r="FG239" i="10"/>
  <c r="DS219" i="10"/>
  <c r="FH160" i="10"/>
  <c r="AQ197" i="10"/>
  <c r="FG219" i="10" l="1"/>
  <c r="FG240" i="10" s="1"/>
  <c r="FO245" i="15"/>
  <c r="FO153" i="15"/>
  <c r="DS240" i="10"/>
  <c r="CE240" i="10"/>
  <c r="FH219" i="10"/>
  <c r="FH197" i="10"/>
  <c r="AQ240" i="10"/>
  <c r="FH239" i="10"/>
  <c r="BJ65" i="3"/>
  <c r="BJ67" i="3" s="1"/>
  <c r="BJ73" i="3" s="1"/>
  <c r="HH31" i="4"/>
  <c r="OZ30" i="2"/>
  <c r="L147" i="10"/>
  <c r="ET147" i="10"/>
  <c r="NL30" i="2"/>
  <c r="FH240" i="10" l="1"/>
  <c r="AC39" i="13"/>
  <c r="AC35" i="11"/>
  <c r="AC31" i="11"/>
  <c r="FT6" i="6"/>
  <c r="BJ10" i="3" l="1"/>
  <c r="BE6" i="3"/>
  <c r="BE3" i="3"/>
  <c r="BE17" i="3"/>
  <c r="BE26" i="3"/>
  <c r="BE24" i="3"/>
  <c r="BE59" i="3"/>
  <c r="FF115" i="10"/>
  <c r="ES115" i="10"/>
  <c r="EF115" i="10"/>
  <c r="DR115" i="10"/>
  <c r="DE115" i="10"/>
  <c r="CR115" i="10"/>
  <c r="CD115" i="10"/>
  <c r="BQ115" i="10"/>
  <c r="BD115" i="10"/>
  <c r="AP115" i="10"/>
  <c r="AC115" i="10"/>
  <c r="P115" i="10"/>
  <c r="FF116" i="10"/>
  <c r="ES116" i="10"/>
  <c r="EF116" i="10"/>
  <c r="DR116" i="10"/>
  <c r="DE116" i="10"/>
  <c r="CR116" i="10"/>
  <c r="CD116" i="10"/>
  <c r="BQ116" i="10"/>
  <c r="BD116" i="10"/>
  <c r="AP116" i="10"/>
  <c r="AC116" i="10"/>
  <c r="P116" i="10"/>
  <c r="FF65" i="10"/>
  <c r="ES65" i="10"/>
  <c r="EF65" i="10"/>
  <c r="DR65" i="10"/>
  <c r="DE65" i="10"/>
  <c r="CR65" i="10"/>
  <c r="CD65" i="10"/>
  <c r="BD65" i="10"/>
  <c r="AC65" i="10"/>
  <c r="P65" i="10"/>
  <c r="FF22" i="10"/>
  <c r="ES22" i="10"/>
  <c r="EF22" i="10"/>
  <c r="DR22" i="10"/>
  <c r="DE22" i="10"/>
  <c r="CR22" i="10"/>
  <c r="CD22" i="10"/>
  <c r="BQ22" i="10"/>
  <c r="BD22" i="10"/>
  <c r="AP22" i="10"/>
  <c r="AC22" i="10"/>
  <c r="P22" i="10"/>
  <c r="AP8" i="3"/>
  <c r="AU65" i="3"/>
  <c r="BK65" i="3" s="1"/>
  <c r="AU63" i="3"/>
  <c r="AP10" i="3"/>
  <c r="AK62" i="3"/>
  <c r="AK7" i="3"/>
  <c r="FF89" i="10"/>
  <c r="ES89" i="10"/>
  <c r="EF89" i="10"/>
  <c r="DR89" i="10"/>
  <c r="DE89" i="10"/>
  <c r="CR89" i="10"/>
  <c r="CD89" i="10"/>
  <c r="BQ89" i="10"/>
  <c r="BD89" i="10"/>
  <c r="AP89" i="10"/>
  <c r="AC89" i="10"/>
  <c r="DE20" i="10"/>
  <c r="DE21" i="10"/>
  <c r="CD21" i="10"/>
  <c r="FF21" i="10"/>
  <c r="ES21" i="10"/>
  <c r="EF21" i="10"/>
  <c r="DR21" i="10"/>
  <c r="CR21" i="10"/>
  <c r="BQ21" i="10"/>
  <c r="BD21" i="10"/>
  <c r="AP21" i="10"/>
  <c r="AC21" i="10"/>
  <c r="P21" i="10"/>
  <c r="AK40" i="3" l="1"/>
  <c r="AP40" i="3"/>
  <c r="AP43" i="3" s="1"/>
  <c r="AP49" i="3" s="1"/>
  <c r="AU40" i="3"/>
  <c r="AU43" i="3" s="1"/>
  <c r="AU49" i="3" s="1"/>
  <c r="AU67" i="3"/>
  <c r="AU73" i="3" s="1"/>
  <c r="AZ40" i="3"/>
  <c r="BE40" i="3"/>
  <c r="BJ40" i="3"/>
  <c r="BK59" i="3"/>
  <c r="BE67" i="3"/>
  <c r="BE73" i="3" s="1"/>
  <c r="BE43" i="3"/>
  <c r="BE49" i="3" s="1"/>
  <c r="BJ43" i="3"/>
  <c r="BJ49" i="3" s="1"/>
  <c r="DS115" i="10"/>
  <c r="AQ22" i="10"/>
  <c r="DS22" i="10"/>
  <c r="DS65" i="10"/>
  <c r="DS116" i="10"/>
  <c r="CE21" i="10"/>
  <c r="AQ115" i="10"/>
  <c r="AQ116" i="10"/>
  <c r="AQ89" i="10"/>
  <c r="AQ65" i="10"/>
  <c r="CE65" i="10"/>
  <c r="CE115" i="10"/>
  <c r="FG115" i="10"/>
  <c r="CE116" i="10"/>
  <c r="FG116" i="10"/>
  <c r="FG65" i="10"/>
  <c r="CE22" i="10"/>
  <c r="FG22" i="10"/>
  <c r="FG21" i="10"/>
  <c r="CE89" i="10"/>
  <c r="FG89" i="10"/>
  <c r="DS89" i="10"/>
  <c r="AQ21" i="10"/>
  <c r="DS21" i="10"/>
  <c r="AK63" i="3"/>
  <c r="AK67" i="3" s="1"/>
  <c r="AK73" i="3" s="1"/>
  <c r="AK33" i="3"/>
  <c r="BK33" i="3" s="1"/>
  <c r="AK32" i="3"/>
  <c r="BK32" i="3" s="1"/>
  <c r="AK31" i="3"/>
  <c r="BK31" i="3" s="1"/>
  <c r="AK30" i="3"/>
  <c r="BK30" i="3" s="1"/>
  <c r="AK29" i="3"/>
  <c r="BK29" i="3" s="1"/>
  <c r="AK28" i="3"/>
  <c r="BK28" i="3" s="1"/>
  <c r="AK27" i="3"/>
  <c r="BK27" i="3" s="1"/>
  <c r="AK26" i="3"/>
  <c r="BK26" i="3" s="1"/>
  <c r="AK25" i="3"/>
  <c r="BK25" i="3" s="1"/>
  <c r="AK24" i="3"/>
  <c r="BK24" i="3" s="1"/>
  <c r="AK23" i="3"/>
  <c r="AK22" i="3"/>
  <c r="BK22" i="3" s="1"/>
  <c r="AK20" i="3"/>
  <c r="BK20" i="3" s="1"/>
  <c r="AK19" i="3"/>
  <c r="BK19" i="3" s="1"/>
  <c r="AK18" i="3"/>
  <c r="BK18" i="3" s="1"/>
  <c r="AK17" i="3"/>
  <c r="BK17" i="3" s="1"/>
  <c r="AK16" i="3"/>
  <c r="BK16" i="3" s="1"/>
  <c r="AK15" i="3"/>
  <c r="BK15" i="3" s="1"/>
  <c r="AK14" i="3"/>
  <c r="AK13" i="3"/>
  <c r="BK13" i="3" s="1"/>
  <c r="AK11" i="3"/>
  <c r="AK10" i="3"/>
  <c r="AK9" i="3"/>
  <c r="BK9" i="3" s="1"/>
  <c r="AK8" i="3"/>
  <c r="AK6" i="3"/>
  <c r="AK4" i="3"/>
  <c r="AF3" i="3"/>
  <c r="AF14" i="3"/>
  <c r="AS43" i="3"/>
  <c r="AT67" i="3"/>
  <c r="AS67" i="3"/>
  <c r="AR67" i="3"/>
  <c r="AQ67" i="3"/>
  <c r="AT43" i="3"/>
  <c r="AR43" i="3"/>
  <c r="AQ43" i="3"/>
  <c r="BK14" i="3" l="1"/>
  <c r="AK3" i="3"/>
  <c r="AK5" i="3"/>
  <c r="AK21" i="3"/>
  <c r="BK21" i="3" s="1"/>
  <c r="FH65" i="10"/>
  <c r="FH116" i="10"/>
  <c r="FH115" i="10"/>
  <c r="FH22" i="10"/>
  <c r="FH89" i="10"/>
  <c r="FH21" i="10"/>
  <c r="AF10" i="3"/>
  <c r="AK43" i="3" l="1"/>
  <c r="AK49" i="3" s="1"/>
  <c r="AX25" i="10"/>
  <c r="V40" i="3"/>
  <c r="FF114" i="10"/>
  <c r="ES114" i="10"/>
  <c r="EF114" i="10"/>
  <c r="DR114" i="10"/>
  <c r="DE114" i="10"/>
  <c r="CR114" i="10"/>
  <c r="CD114" i="10"/>
  <c r="BQ114" i="10"/>
  <c r="BD114" i="10"/>
  <c r="AP114" i="10"/>
  <c r="AC114" i="10"/>
  <c r="P114" i="10"/>
  <c r="FF20" i="10"/>
  <c r="ES20" i="10"/>
  <c r="EF20" i="10"/>
  <c r="DR20" i="10"/>
  <c r="CR20" i="10"/>
  <c r="CD20" i="10"/>
  <c r="BQ20" i="10"/>
  <c r="BD20" i="10"/>
  <c r="AP20" i="10"/>
  <c r="AC20" i="10"/>
  <c r="P20" i="10"/>
  <c r="BC25" i="10"/>
  <c r="V10" i="3"/>
  <c r="Q5" i="3"/>
  <c r="Q3" i="3"/>
  <c r="L63" i="3"/>
  <c r="BK63" i="3" l="1"/>
  <c r="L67" i="3"/>
  <c r="L73" i="3" s="1"/>
  <c r="G62" i="3"/>
  <c r="V43" i="3"/>
  <c r="V49" i="3" s="1"/>
  <c r="AA40" i="3"/>
  <c r="AF40" i="3"/>
  <c r="AF43" i="3" s="1"/>
  <c r="AF49" i="3" s="1"/>
  <c r="CE20" i="10"/>
  <c r="FG114" i="10"/>
  <c r="FG20" i="10"/>
  <c r="AQ20" i="10"/>
  <c r="DS20" i="10"/>
  <c r="AQ114" i="10"/>
  <c r="DS114" i="10"/>
  <c r="CE114" i="10"/>
  <c r="AP31" i="11"/>
  <c r="P31" i="11"/>
  <c r="OY40" i="2"/>
  <c r="OY42" i="2" s="1"/>
  <c r="OY47" i="2" s="1"/>
  <c r="OX40" i="2"/>
  <c r="OX42" i="2" s="1"/>
  <c r="OX47" i="2" s="1"/>
  <c r="OW40" i="2"/>
  <c r="OW42" i="2" s="1"/>
  <c r="OW47" i="2" s="1"/>
  <c r="OV40" i="2"/>
  <c r="OV42" i="2" s="1"/>
  <c r="OV47" i="2" s="1"/>
  <c r="OU40" i="2"/>
  <c r="OU42" i="2" s="1"/>
  <c r="OU47" i="2" s="1"/>
  <c r="OT40" i="2"/>
  <c r="OT42" i="2" s="1"/>
  <c r="OT47" i="2" s="1"/>
  <c r="OS40" i="2"/>
  <c r="OS42" i="2" s="1"/>
  <c r="OS47" i="2" s="1"/>
  <c r="OR40" i="2"/>
  <c r="OR42" i="2" s="1"/>
  <c r="OR47" i="2" s="1"/>
  <c r="OQ40" i="2"/>
  <c r="OQ42" i="2" s="1"/>
  <c r="OQ47" i="2" s="1"/>
  <c r="OP40" i="2"/>
  <c r="OP42" i="2" s="1"/>
  <c r="OP47" i="2" s="1"/>
  <c r="OO40" i="2"/>
  <c r="OO42" i="2" s="1"/>
  <c r="OO47" i="2" s="1"/>
  <c r="ON40" i="2"/>
  <c r="ON42" i="2" s="1"/>
  <c r="OZ39" i="2"/>
  <c r="OZ38" i="2"/>
  <c r="OZ37" i="2"/>
  <c r="OZ36" i="2"/>
  <c r="OZ35" i="2"/>
  <c r="OZ34" i="2"/>
  <c r="OZ33" i="2"/>
  <c r="OZ32" i="2"/>
  <c r="OZ31" i="2"/>
  <c r="OZ29" i="2"/>
  <c r="OZ28" i="2"/>
  <c r="OZ27" i="2"/>
  <c r="OZ26" i="2"/>
  <c r="OZ25" i="2"/>
  <c r="OZ24" i="2"/>
  <c r="OZ23" i="2"/>
  <c r="OZ22" i="2"/>
  <c r="OZ21" i="2"/>
  <c r="OZ20" i="2"/>
  <c r="OZ19" i="2"/>
  <c r="OZ18" i="2"/>
  <c r="OZ17" i="2"/>
  <c r="OZ16" i="2"/>
  <c r="OZ15" i="2"/>
  <c r="OZ14" i="2"/>
  <c r="OZ13" i="2"/>
  <c r="OZ12" i="2"/>
  <c r="OZ11" i="2"/>
  <c r="OZ10" i="2"/>
  <c r="OZ9" i="2"/>
  <c r="OZ8" i="2"/>
  <c r="OZ7" i="2"/>
  <c r="OZ6" i="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BD39" i="12"/>
  <c r="BD38" i="12"/>
  <c r="BD37" i="12"/>
  <c r="BD36" i="12"/>
  <c r="BD35" i="12"/>
  <c r="BD34" i="12"/>
  <c r="BD33" i="12"/>
  <c r="BD32" i="12"/>
  <c r="BD31" i="12"/>
  <c r="BD30" i="12"/>
  <c r="BD29" i="12"/>
  <c r="BD28" i="12"/>
  <c r="BD27" i="12"/>
  <c r="BD26" i="12"/>
  <c r="BD25" i="12"/>
  <c r="BD24" i="12"/>
  <c r="BD23" i="12"/>
  <c r="BD22" i="12"/>
  <c r="BD21" i="12"/>
  <c r="BD20" i="12"/>
  <c r="BD19" i="12"/>
  <c r="BD18" i="12"/>
  <c r="BD17" i="12"/>
  <c r="BD16" i="12"/>
  <c r="BD15" i="12"/>
  <c r="BD14" i="12"/>
  <c r="BD13" i="12"/>
  <c r="BD12" i="12"/>
  <c r="BD11" i="12"/>
  <c r="BD10" i="12"/>
  <c r="BD9" i="12"/>
  <c r="BD8" i="12"/>
  <c r="BD7" i="12"/>
  <c r="BD6" i="12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P39" i="14"/>
  <c r="AC39" i="14"/>
  <c r="P39" i="14"/>
  <c r="AQ39" i="14" s="1"/>
  <c r="AR39" i="14" s="1"/>
  <c r="AP38" i="14"/>
  <c r="AC38" i="14"/>
  <c r="AQ38" i="14" s="1"/>
  <c r="AR38" i="14" s="1"/>
  <c r="P38" i="14"/>
  <c r="AP37" i="14"/>
  <c r="AC37" i="14"/>
  <c r="P37" i="14"/>
  <c r="AP36" i="14"/>
  <c r="AC36" i="14"/>
  <c r="P36" i="14"/>
  <c r="AP35" i="14"/>
  <c r="AC35" i="14"/>
  <c r="P35" i="14"/>
  <c r="AP34" i="14"/>
  <c r="AC34" i="14"/>
  <c r="P34" i="14"/>
  <c r="AP33" i="14"/>
  <c r="AC33" i="14"/>
  <c r="P33" i="14"/>
  <c r="AP32" i="14"/>
  <c r="AC32" i="14"/>
  <c r="P32" i="14"/>
  <c r="AP31" i="14"/>
  <c r="AC31" i="14"/>
  <c r="P31" i="14"/>
  <c r="AP30" i="14"/>
  <c r="AC30" i="14"/>
  <c r="P30" i="14"/>
  <c r="AP29" i="14"/>
  <c r="AC29" i="14"/>
  <c r="P29" i="14"/>
  <c r="AP28" i="14"/>
  <c r="AC28" i="14"/>
  <c r="P28" i="14"/>
  <c r="AP27" i="14"/>
  <c r="AC27" i="14"/>
  <c r="P27" i="14"/>
  <c r="AP26" i="14"/>
  <c r="AC26" i="14"/>
  <c r="P26" i="14"/>
  <c r="AP25" i="14"/>
  <c r="AC25" i="14"/>
  <c r="P25" i="14"/>
  <c r="AP24" i="14"/>
  <c r="AC24" i="14"/>
  <c r="P24" i="14"/>
  <c r="AP23" i="14"/>
  <c r="AC23" i="14"/>
  <c r="P23" i="14"/>
  <c r="AP22" i="14"/>
  <c r="AC22" i="14"/>
  <c r="P22" i="14"/>
  <c r="AP21" i="14"/>
  <c r="AC21" i="14"/>
  <c r="P21" i="14"/>
  <c r="AP20" i="14"/>
  <c r="AC20" i="14"/>
  <c r="P20" i="14"/>
  <c r="AP19" i="14"/>
  <c r="AC19" i="14"/>
  <c r="P19" i="14"/>
  <c r="AP18" i="14"/>
  <c r="AC18" i="14"/>
  <c r="P18" i="14"/>
  <c r="AP17" i="14"/>
  <c r="AC17" i="14"/>
  <c r="P17" i="14"/>
  <c r="AP16" i="14"/>
  <c r="AC16" i="14"/>
  <c r="P16" i="14"/>
  <c r="AP15" i="14"/>
  <c r="AC15" i="14"/>
  <c r="P15" i="14"/>
  <c r="AP14" i="14"/>
  <c r="AC14" i="14"/>
  <c r="P14" i="14"/>
  <c r="AP13" i="14"/>
  <c r="AC13" i="14"/>
  <c r="P13" i="14"/>
  <c r="AP12" i="14"/>
  <c r="AC12" i="14"/>
  <c r="P12" i="14"/>
  <c r="AP11" i="14"/>
  <c r="AC11" i="14"/>
  <c r="P11" i="14"/>
  <c r="AP10" i="14"/>
  <c r="AC10" i="14"/>
  <c r="P10" i="14"/>
  <c r="AP9" i="14"/>
  <c r="AC9" i="14"/>
  <c r="P9" i="14"/>
  <c r="AP8" i="14"/>
  <c r="AC8" i="14"/>
  <c r="P8" i="14"/>
  <c r="AP7" i="14"/>
  <c r="AC7" i="14"/>
  <c r="P7" i="14"/>
  <c r="AP6" i="14"/>
  <c r="AC6" i="14"/>
  <c r="P6" i="14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AP39" i="13"/>
  <c r="P39" i="13"/>
  <c r="AQ39" i="13" s="1"/>
  <c r="AR39" i="13" s="1"/>
  <c r="AP38" i="13"/>
  <c r="AC38" i="13"/>
  <c r="P38" i="13"/>
  <c r="AP37" i="13"/>
  <c r="AC37" i="13"/>
  <c r="P37" i="13"/>
  <c r="AP36" i="13"/>
  <c r="AC36" i="13"/>
  <c r="P36" i="13"/>
  <c r="AP35" i="13"/>
  <c r="AC35" i="13"/>
  <c r="P35" i="13"/>
  <c r="AP34" i="13"/>
  <c r="AC34" i="13"/>
  <c r="P34" i="13"/>
  <c r="AP33" i="13"/>
  <c r="AC33" i="13"/>
  <c r="P33" i="13"/>
  <c r="AP32" i="13"/>
  <c r="AC32" i="13"/>
  <c r="P32" i="13"/>
  <c r="AP31" i="13"/>
  <c r="AC31" i="13"/>
  <c r="P31" i="13"/>
  <c r="AP30" i="13"/>
  <c r="AC30" i="13"/>
  <c r="P30" i="13"/>
  <c r="AP29" i="13"/>
  <c r="AC29" i="13"/>
  <c r="P29" i="13"/>
  <c r="AP28" i="13"/>
  <c r="AC28" i="13"/>
  <c r="P28" i="13"/>
  <c r="AP27" i="13"/>
  <c r="AC27" i="13"/>
  <c r="P27" i="13"/>
  <c r="AP26" i="13"/>
  <c r="AC26" i="13"/>
  <c r="P26" i="13"/>
  <c r="AP25" i="13"/>
  <c r="AC25" i="13"/>
  <c r="P25" i="13"/>
  <c r="AP24" i="13"/>
  <c r="AC24" i="13"/>
  <c r="P24" i="13"/>
  <c r="AP23" i="13"/>
  <c r="AC23" i="13"/>
  <c r="P23" i="13"/>
  <c r="AP22" i="13"/>
  <c r="AC22" i="13"/>
  <c r="P22" i="13"/>
  <c r="AP21" i="13"/>
  <c r="AC21" i="13"/>
  <c r="P21" i="13"/>
  <c r="AP20" i="13"/>
  <c r="AC20" i="13"/>
  <c r="P20" i="13"/>
  <c r="AP19" i="13"/>
  <c r="AC19" i="13"/>
  <c r="P19" i="13"/>
  <c r="AP18" i="13"/>
  <c r="AC18" i="13"/>
  <c r="P18" i="13"/>
  <c r="AP17" i="13"/>
  <c r="AC17" i="13"/>
  <c r="P17" i="13"/>
  <c r="AP16" i="13"/>
  <c r="AC16" i="13"/>
  <c r="P16" i="13"/>
  <c r="AP15" i="13"/>
  <c r="AC15" i="13"/>
  <c r="P15" i="13"/>
  <c r="AP14" i="13"/>
  <c r="AC14" i="13"/>
  <c r="P14" i="13"/>
  <c r="AP13" i="13"/>
  <c r="AC13" i="13"/>
  <c r="P13" i="13"/>
  <c r="AP12" i="13"/>
  <c r="AC12" i="13"/>
  <c r="P12" i="13"/>
  <c r="AP11" i="13"/>
  <c r="AC11" i="13"/>
  <c r="P11" i="13"/>
  <c r="AP10" i="13"/>
  <c r="AC10" i="13"/>
  <c r="P10" i="13"/>
  <c r="AP9" i="13"/>
  <c r="AC9" i="13"/>
  <c r="P9" i="13"/>
  <c r="AP8" i="13"/>
  <c r="AC8" i="13"/>
  <c r="P8" i="13"/>
  <c r="AP7" i="13"/>
  <c r="AC7" i="13"/>
  <c r="P7" i="13"/>
  <c r="AP6" i="13"/>
  <c r="AC6" i="13"/>
  <c r="P6" i="13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AP39" i="12"/>
  <c r="AC39" i="12"/>
  <c r="P39" i="12"/>
  <c r="AP38" i="12"/>
  <c r="AC38" i="12"/>
  <c r="P38" i="12"/>
  <c r="AP37" i="12"/>
  <c r="AC37" i="12"/>
  <c r="P37" i="12"/>
  <c r="AP36" i="12"/>
  <c r="AC36" i="12"/>
  <c r="P36" i="12"/>
  <c r="AP35" i="12"/>
  <c r="AC35" i="12"/>
  <c r="P35" i="12"/>
  <c r="AP34" i="12"/>
  <c r="AC34" i="12"/>
  <c r="P34" i="12"/>
  <c r="AP33" i="12"/>
  <c r="AC33" i="12"/>
  <c r="P33" i="12"/>
  <c r="AP32" i="12"/>
  <c r="AC32" i="12"/>
  <c r="P32" i="12"/>
  <c r="AP31" i="12"/>
  <c r="AC31" i="12"/>
  <c r="P31" i="12"/>
  <c r="AP30" i="12"/>
  <c r="AC30" i="12"/>
  <c r="P30" i="12"/>
  <c r="AP29" i="12"/>
  <c r="AC29" i="12"/>
  <c r="P29" i="12"/>
  <c r="AP28" i="12"/>
  <c r="AC28" i="12"/>
  <c r="P28" i="12"/>
  <c r="AP27" i="12"/>
  <c r="AC27" i="12"/>
  <c r="P27" i="12"/>
  <c r="AP26" i="12"/>
  <c r="AC26" i="12"/>
  <c r="P26" i="12"/>
  <c r="AP25" i="12"/>
  <c r="AC25" i="12"/>
  <c r="P25" i="12"/>
  <c r="AP24" i="12"/>
  <c r="AC24" i="12"/>
  <c r="P24" i="12"/>
  <c r="AP23" i="12"/>
  <c r="AC23" i="12"/>
  <c r="P23" i="12"/>
  <c r="AP22" i="12"/>
  <c r="AC22" i="12"/>
  <c r="P22" i="12"/>
  <c r="AP21" i="12"/>
  <c r="AC21" i="12"/>
  <c r="P21" i="12"/>
  <c r="AP20" i="12"/>
  <c r="AC20" i="12"/>
  <c r="P20" i="12"/>
  <c r="AP19" i="12"/>
  <c r="AC19" i="12"/>
  <c r="P19" i="12"/>
  <c r="AP18" i="12"/>
  <c r="AC18" i="12"/>
  <c r="P18" i="12"/>
  <c r="AP17" i="12"/>
  <c r="AC17" i="12"/>
  <c r="P17" i="12"/>
  <c r="AP16" i="12"/>
  <c r="AC16" i="12"/>
  <c r="P16" i="12"/>
  <c r="AP15" i="12"/>
  <c r="AC15" i="12"/>
  <c r="P15" i="12"/>
  <c r="AP14" i="12"/>
  <c r="AC14" i="12"/>
  <c r="P14" i="12"/>
  <c r="AP13" i="12"/>
  <c r="AC13" i="12"/>
  <c r="P13" i="12"/>
  <c r="AP12" i="12"/>
  <c r="AC12" i="12"/>
  <c r="P12" i="12"/>
  <c r="AP11" i="12"/>
  <c r="AC11" i="12"/>
  <c r="P11" i="12"/>
  <c r="AP10" i="12"/>
  <c r="AC10" i="12"/>
  <c r="P10" i="12"/>
  <c r="AP9" i="12"/>
  <c r="AC9" i="12"/>
  <c r="P9" i="12"/>
  <c r="AP8" i="12"/>
  <c r="AC8" i="12"/>
  <c r="P8" i="12"/>
  <c r="AP7" i="12"/>
  <c r="AC7" i="12"/>
  <c r="P7" i="12"/>
  <c r="AP6" i="12"/>
  <c r="AC6" i="12"/>
  <c r="P6" i="12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AP39" i="11"/>
  <c r="AC39" i="11"/>
  <c r="P39" i="11"/>
  <c r="AP38" i="11"/>
  <c r="AC38" i="11"/>
  <c r="P38" i="11"/>
  <c r="AP37" i="11"/>
  <c r="AC37" i="11"/>
  <c r="P37" i="11"/>
  <c r="AP36" i="11"/>
  <c r="AC36" i="11"/>
  <c r="P36" i="11"/>
  <c r="AP35" i="11"/>
  <c r="P35" i="11"/>
  <c r="AP34" i="11"/>
  <c r="AC34" i="11"/>
  <c r="P34" i="11"/>
  <c r="AP33" i="11"/>
  <c r="AC33" i="11"/>
  <c r="P33" i="11"/>
  <c r="AP32" i="11"/>
  <c r="AC32" i="11"/>
  <c r="P32" i="11"/>
  <c r="AP30" i="11"/>
  <c r="AC30" i="11"/>
  <c r="P30" i="11"/>
  <c r="AP29" i="11"/>
  <c r="AC29" i="11"/>
  <c r="P29" i="11"/>
  <c r="AP28" i="11"/>
  <c r="AC28" i="11"/>
  <c r="P28" i="11"/>
  <c r="AP27" i="11"/>
  <c r="AC27" i="11"/>
  <c r="P27" i="11"/>
  <c r="AP26" i="11"/>
  <c r="AC26" i="11"/>
  <c r="P26" i="11"/>
  <c r="AP25" i="11"/>
  <c r="AC25" i="11"/>
  <c r="P25" i="11"/>
  <c r="AP24" i="11"/>
  <c r="AC24" i="11"/>
  <c r="P24" i="11"/>
  <c r="AP23" i="11"/>
  <c r="AC23" i="11"/>
  <c r="P23" i="11"/>
  <c r="AP22" i="11"/>
  <c r="AC22" i="11"/>
  <c r="P22" i="11"/>
  <c r="AP21" i="11"/>
  <c r="AC21" i="11"/>
  <c r="P21" i="11"/>
  <c r="AP20" i="11"/>
  <c r="AC20" i="11"/>
  <c r="P20" i="11"/>
  <c r="AP19" i="11"/>
  <c r="AC19" i="11"/>
  <c r="P19" i="11"/>
  <c r="AP18" i="11"/>
  <c r="AC18" i="11"/>
  <c r="P18" i="11"/>
  <c r="AP17" i="11"/>
  <c r="AC17" i="11"/>
  <c r="P17" i="11"/>
  <c r="AP16" i="11"/>
  <c r="AC16" i="11"/>
  <c r="P16" i="11"/>
  <c r="AP15" i="11"/>
  <c r="AC15" i="11"/>
  <c r="P15" i="11"/>
  <c r="AP14" i="11"/>
  <c r="AC14" i="11"/>
  <c r="P14" i="11"/>
  <c r="AP13" i="11"/>
  <c r="AC13" i="11"/>
  <c r="P13" i="11"/>
  <c r="AP12" i="11"/>
  <c r="AC12" i="11"/>
  <c r="P12" i="11"/>
  <c r="AP11" i="11"/>
  <c r="AC11" i="11"/>
  <c r="P11" i="11"/>
  <c r="AP10" i="11"/>
  <c r="AC10" i="11"/>
  <c r="P10" i="11"/>
  <c r="AP9" i="11"/>
  <c r="AC9" i="11"/>
  <c r="P9" i="11"/>
  <c r="AP8" i="11"/>
  <c r="AC8" i="11"/>
  <c r="P8" i="11"/>
  <c r="AP7" i="11"/>
  <c r="AC7" i="11"/>
  <c r="P7" i="11"/>
  <c r="AP6" i="11"/>
  <c r="AC6" i="11"/>
  <c r="P6" i="11"/>
  <c r="FE147" i="10"/>
  <c r="FD147" i="10"/>
  <c r="FC147" i="10"/>
  <c r="FB147" i="10"/>
  <c r="FA147" i="10"/>
  <c r="EZ147" i="10"/>
  <c r="EY147" i="10"/>
  <c r="EX147" i="10"/>
  <c r="EW147" i="10"/>
  <c r="EV147" i="10"/>
  <c r="EU147" i="10"/>
  <c r="ER147" i="10"/>
  <c r="EQ147" i="10"/>
  <c r="EP147" i="10"/>
  <c r="EO147" i="10"/>
  <c r="EN147" i="10"/>
  <c r="EM147" i="10"/>
  <c r="EL147" i="10"/>
  <c r="EK147" i="10"/>
  <c r="EJ147" i="10"/>
  <c r="EI147" i="10"/>
  <c r="EH147" i="10"/>
  <c r="EG147" i="10"/>
  <c r="EE147" i="10"/>
  <c r="ED147" i="10"/>
  <c r="EC147" i="10"/>
  <c r="EB147" i="10"/>
  <c r="EA147" i="10"/>
  <c r="DZ147" i="10"/>
  <c r="DY147" i="10"/>
  <c r="DX147" i="10"/>
  <c r="DW147" i="10"/>
  <c r="DV147" i="10"/>
  <c r="DU147" i="10"/>
  <c r="DT147" i="10"/>
  <c r="DQ147" i="10"/>
  <c r="DP147" i="10"/>
  <c r="DO147" i="10"/>
  <c r="DN147" i="10"/>
  <c r="DM147" i="10"/>
  <c r="DL147" i="10"/>
  <c r="DK147" i="10"/>
  <c r="DJ147" i="10"/>
  <c r="DI147" i="10"/>
  <c r="DH147" i="10"/>
  <c r="DG147" i="10"/>
  <c r="DF147" i="10"/>
  <c r="DD147" i="10"/>
  <c r="DC147" i="10"/>
  <c r="DB147" i="10"/>
  <c r="DA147" i="10"/>
  <c r="CZ147" i="10"/>
  <c r="CY147" i="10"/>
  <c r="CX147" i="10"/>
  <c r="CW147" i="10"/>
  <c r="CV147" i="10"/>
  <c r="CU147" i="10"/>
  <c r="CT147" i="10"/>
  <c r="CS147" i="10"/>
  <c r="CQ147" i="10"/>
  <c r="CP147" i="10"/>
  <c r="CO147" i="10"/>
  <c r="CN147" i="10"/>
  <c r="CM147" i="10"/>
  <c r="CL147" i="10"/>
  <c r="CK147" i="10"/>
  <c r="CJ147" i="10"/>
  <c r="CI147" i="10"/>
  <c r="CH147" i="10"/>
  <c r="CG147" i="10"/>
  <c r="CF147" i="10"/>
  <c r="CC147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FE125" i="10"/>
  <c r="FD125" i="10"/>
  <c r="FC125" i="10"/>
  <c r="FB125" i="10"/>
  <c r="FA125" i="10"/>
  <c r="EZ125" i="10"/>
  <c r="EY125" i="10"/>
  <c r="EX125" i="10"/>
  <c r="EW125" i="10"/>
  <c r="EV125" i="10"/>
  <c r="EU125" i="10"/>
  <c r="ET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FE118" i="10"/>
  <c r="FD118" i="10"/>
  <c r="FC118" i="10"/>
  <c r="FB118" i="10"/>
  <c r="FA118" i="10"/>
  <c r="EZ118" i="10"/>
  <c r="EY118" i="10"/>
  <c r="EX118" i="10"/>
  <c r="EW118" i="10"/>
  <c r="EV118" i="10"/>
  <c r="EU118" i="10"/>
  <c r="ET118" i="10"/>
  <c r="ER118" i="10"/>
  <c r="EQ118" i="10"/>
  <c r="EP118" i="10"/>
  <c r="EO118" i="10"/>
  <c r="EN118" i="10"/>
  <c r="EM118" i="10"/>
  <c r="EL118" i="10"/>
  <c r="EK118" i="10"/>
  <c r="EJ118" i="10"/>
  <c r="EI118" i="10"/>
  <c r="EH118" i="10"/>
  <c r="EG118" i="10"/>
  <c r="EE118" i="10"/>
  <c r="ED118" i="10"/>
  <c r="EC118" i="10"/>
  <c r="EB118" i="10"/>
  <c r="EA118" i="10"/>
  <c r="DZ118" i="10"/>
  <c r="DY118" i="10"/>
  <c r="DX118" i="10"/>
  <c r="DW118" i="10"/>
  <c r="DV118" i="10"/>
  <c r="DU118" i="10"/>
  <c r="DT118" i="10"/>
  <c r="DQ118" i="10"/>
  <c r="DP118" i="10"/>
  <c r="DO118" i="10"/>
  <c r="DN118" i="10"/>
  <c r="DM118" i="10"/>
  <c r="DL118" i="10"/>
  <c r="DK118" i="10"/>
  <c r="DJ118" i="10"/>
  <c r="DI118" i="10"/>
  <c r="DH118" i="10"/>
  <c r="DG118" i="10"/>
  <c r="DF118" i="10"/>
  <c r="DD118" i="10"/>
  <c r="DC118" i="10"/>
  <c r="DB118" i="10"/>
  <c r="DA118" i="10"/>
  <c r="CZ118" i="10"/>
  <c r="CY118" i="10"/>
  <c r="CX118" i="10"/>
  <c r="CW118" i="10"/>
  <c r="CV118" i="10"/>
  <c r="CU118" i="10"/>
  <c r="CT118" i="10"/>
  <c r="CS118" i="10"/>
  <c r="CQ118" i="10"/>
  <c r="CP118" i="10"/>
  <c r="CO118" i="10"/>
  <c r="CN118" i="10"/>
  <c r="CM118" i="10"/>
  <c r="CL118" i="10"/>
  <c r="CK118" i="10"/>
  <c r="CJ118" i="10"/>
  <c r="CI118" i="10"/>
  <c r="CH118" i="10"/>
  <c r="CG118" i="10"/>
  <c r="CF118" i="10"/>
  <c r="CC118" i="10"/>
  <c r="CB118" i="10"/>
  <c r="CA118" i="10"/>
  <c r="BZ118" i="10"/>
  <c r="BY118" i="10"/>
  <c r="BX118" i="10"/>
  <c r="BW118" i="10"/>
  <c r="BV118" i="10"/>
  <c r="BU118" i="10"/>
  <c r="BT118" i="10"/>
  <c r="BS118" i="10"/>
  <c r="BR118" i="10"/>
  <c r="BP118" i="10"/>
  <c r="BO118" i="10"/>
  <c r="BN118" i="10"/>
  <c r="BM118" i="10"/>
  <c r="BL118" i="10"/>
  <c r="BK118" i="10"/>
  <c r="BJ118" i="10"/>
  <c r="BI118" i="10"/>
  <c r="BH118" i="10"/>
  <c r="BG118" i="10"/>
  <c r="BF118" i="10"/>
  <c r="BE118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FE96" i="10"/>
  <c r="FD96" i="10"/>
  <c r="FC96" i="10"/>
  <c r="FB96" i="10"/>
  <c r="FA96" i="10"/>
  <c r="EZ96" i="10"/>
  <c r="EY96" i="10"/>
  <c r="EX96" i="10"/>
  <c r="EW96" i="10"/>
  <c r="EV96" i="10"/>
  <c r="EU96" i="10"/>
  <c r="ET96" i="10"/>
  <c r="ER96" i="10"/>
  <c r="EQ96" i="10"/>
  <c r="EP96" i="10"/>
  <c r="EO96" i="10"/>
  <c r="EN96" i="10"/>
  <c r="EM96" i="10"/>
  <c r="EL96" i="10"/>
  <c r="EK96" i="10"/>
  <c r="EJ96" i="10"/>
  <c r="EI96" i="10"/>
  <c r="EH96" i="10"/>
  <c r="EG96" i="10"/>
  <c r="EE96" i="10"/>
  <c r="ED96" i="10"/>
  <c r="EC96" i="10"/>
  <c r="EB96" i="10"/>
  <c r="EA96" i="10"/>
  <c r="DZ96" i="10"/>
  <c r="DY96" i="10"/>
  <c r="DX96" i="10"/>
  <c r="DW96" i="10"/>
  <c r="DV96" i="10"/>
  <c r="DU96" i="10"/>
  <c r="DT96" i="10"/>
  <c r="DQ96" i="10"/>
  <c r="DP96" i="10"/>
  <c r="DO96" i="10"/>
  <c r="DN96" i="10"/>
  <c r="DM96" i="10"/>
  <c r="DL96" i="10"/>
  <c r="DK96" i="10"/>
  <c r="DJ96" i="10"/>
  <c r="DI96" i="10"/>
  <c r="DH96" i="10"/>
  <c r="DG96" i="10"/>
  <c r="DF96" i="10"/>
  <c r="DD96" i="10"/>
  <c r="DC96" i="10"/>
  <c r="DB96" i="10"/>
  <c r="DA96" i="10"/>
  <c r="CZ96" i="10"/>
  <c r="CY96" i="10"/>
  <c r="CX96" i="10"/>
  <c r="CW96" i="10"/>
  <c r="CV96" i="10"/>
  <c r="CU96" i="10"/>
  <c r="CT96" i="10"/>
  <c r="CS96" i="10"/>
  <c r="CQ96" i="10"/>
  <c r="CP96" i="10"/>
  <c r="CO96" i="10"/>
  <c r="CN96" i="10"/>
  <c r="CM96" i="10"/>
  <c r="CL96" i="10"/>
  <c r="CK96" i="10"/>
  <c r="CJ96" i="10"/>
  <c r="CI96" i="10"/>
  <c r="CH96" i="10"/>
  <c r="CG96" i="10"/>
  <c r="CF96" i="10"/>
  <c r="CC96" i="10"/>
  <c r="CB96" i="10"/>
  <c r="CA96" i="10"/>
  <c r="BZ96" i="10"/>
  <c r="BY96" i="10"/>
  <c r="BX96" i="10"/>
  <c r="BW96" i="10"/>
  <c r="BV96" i="10"/>
  <c r="BU96" i="10"/>
  <c r="BT96" i="10"/>
  <c r="BS96" i="10"/>
  <c r="BR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FE91" i="10"/>
  <c r="FD91" i="10"/>
  <c r="FC91" i="10"/>
  <c r="FB91" i="10"/>
  <c r="FA91" i="10"/>
  <c r="EZ91" i="10"/>
  <c r="EY91" i="10"/>
  <c r="EX91" i="10"/>
  <c r="EW91" i="10"/>
  <c r="EV91" i="10"/>
  <c r="EU91" i="10"/>
  <c r="ET91" i="10"/>
  <c r="ER91" i="10"/>
  <c r="EQ91" i="10"/>
  <c r="EP91" i="10"/>
  <c r="EO91" i="10"/>
  <c r="EN91" i="10"/>
  <c r="EM91" i="10"/>
  <c r="EL91" i="10"/>
  <c r="EK91" i="10"/>
  <c r="EJ91" i="10"/>
  <c r="EI91" i="10"/>
  <c r="EH91" i="10"/>
  <c r="EG91" i="10"/>
  <c r="EE91" i="10"/>
  <c r="ED91" i="10"/>
  <c r="EC91" i="10"/>
  <c r="EB91" i="10"/>
  <c r="EA91" i="10"/>
  <c r="DZ91" i="10"/>
  <c r="DY91" i="10"/>
  <c r="DX91" i="10"/>
  <c r="DW91" i="10"/>
  <c r="DV91" i="10"/>
  <c r="DU91" i="10"/>
  <c r="DT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DD91" i="10"/>
  <c r="DC91" i="10"/>
  <c r="DB91" i="10"/>
  <c r="DA91" i="10"/>
  <c r="CZ91" i="10"/>
  <c r="CY91" i="10"/>
  <c r="CX91" i="10"/>
  <c r="CW91" i="10"/>
  <c r="CV91" i="10"/>
  <c r="CU91" i="10"/>
  <c r="CT91" i="10"/>
  <c r="CS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C91" i="10"/>
  <c r="CB91" i="10"/>
  <c r="CA91" i="10"/>
  <c r="BZ91" i="10"/>
  <c r="BY91" i="10"/>
  <c r="BX91" i="10"/>
  <c r="BW91" i="10"/>
  <c r="BV91" i="10"/>
  <c r="BU91" i="10"/>
  <c r="BT91" i="10"/>
  <c r="BS91" i="10"/>
  <c r="BR91" i="10"/>
  <c r="BP91" i="10"/>
  <c r="BO91" i="10"/>
  <c r="BN91" i="10"/>
  <c r="BM91" i="10"/>
  <c r="BL91" i="10"/>
  <c r="BK91" i="10"/>
  <c r="BJ91" i="10"/>
  <c r="BI91" i="10"/>
  <c r="BH91" i="10"/>
  <c r="BG91" i="10"/>
  <c r="BF91" i="10"/>
  <c r="BE91" i="10"/>
  <c r="BC91" i="10"/>
  <c r="BB91" i="10"/>
  <c r="BA91" i="10"/>
  <c r="AZ91" i="10"/>
  <c r="AY91" i="10"/>
  <c r="AX91" i="10"/>
  <c r="AW91" i="10"/>
  <c r="AV91" i="10"/>
  <c r="AU91" i="10"/>
  <c r="AT91" i="10"/>
  <c r="AS91" i="10"/>
  <c r="AR91" i="10"/>
  <c r="FE69" i="10"/>
  <c r="FD69" i="10"/>
  <c r="FC69" i="10"/>
  <c r="FB69" i="10"/>
  <c r="FA69" i="10"/>
  <c r="EZ69" i="10"/>
  <c r="EY69" i="10"/>
  <c r="EX69" i="10"/>
  <c r="EW69" i="10"/>
  <c r="EV69" i="10"/>
  <c r="EU69" i="10"/>
  <c r="ET69" i="10"/>
  <c r="ER69" i="10"/>
  <c r="EQ69" i="10"/>
  <c r="EP69" i="10"/>
  <c r="EO69" i="10"/>
  <c r="EN69" i="10"/>
  <c r="EM69" i="10"/>
  <c r="EL69" i="10"/>
  <c r="EK69" i="10"/>
  <c r="EJ69" i="10"/>
  <c r="EI69" i="10"/>
  <c r="EH69" i="10"/>
  <c r="EG69" i="10"/>
  <c r="EE69" i="10"/>
  <c r="ED69" i="10"/>
  <c r="EC69" i="10"/>
  <c r="EB69" i="10"/>
  <c r="EA69" i="10"/>
  <c r="DZ69" i="10"/>
  <c r="DY69" i="10"/>
  <c r="DX69" i="10"/>
  <c r="DW69" i="10"/>
  <c r="DV69" i="10"/>
  <c r="DU69" i="10"/>
  <c r="DT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D69" i="10"/>
  <c r="DC69" i="10"/>
  <c r="DB69" i="10"/>
  <c r="DA69" i="10"/>
  <c r="CZ69" i="10"/>
  <c r="CY69" i="10"/>
  <c r="CX69" i="10"/>
  <c r="CW69" i="10"/>
  <c r="CV69" i="10"/>
  <c r="CU69" i="10"/>
  <c r="CT69" i="10"/>
  <c r="CS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C69" i="10"/>
  <c r="CB69" i="10"/>
  <c r="CA69" i="10"/>
  <c r="BZ69" i="10"/>
  <c r="BY69" i="10"/>
  <c r="BX69" i="10"/>
  <c r="BW69" i="10"/>
  <c r="BV69" i="10"/>
  <c r="BU69" i="10"/>
  <c r="BT69" i="10"/>
  <c r="BS69" i="10"/>
  <c r="BR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C69" i="10"/>
  <c r="BA69" i="10"/>
  <c r="AZ69" i="10"/>
  <c r="AY69" i="10"/>
  <c r="AX69" i="10"/>
  <c r="AW69" i="10"/>
  <c r="AV69" i="10"/>
  <c r="AU69" i="10"/>
  <c r="AT69" i="10"/>
  <c r="AS69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R25" i="10"/>
  <c r="EQ25" i="10"/>
  <c r="EP25" i="10"/>
  <c r="EP148" i="10" s="1"/>
  <c r="EO25" i="10"/>
  <c r="EN25" i="10"/>
  <c r="EM25" i="10"/>
  <c r="EL25" i="10"/>
  <c r="EL148" i="10" s="1"/>
  <c r="EK25" i="10"/>
  <c r="EJ25" i="10"/>
  <c r="EJ148" i="10" s="1"/>
  <c r="EI25" i="10"/>
  <c r="EH25" i="10"/>
  <c r="EG25" i="10"/>
  <c r="EE25" i="10"/>
  <c r="ED25" i="10"/>
  <c r="EC25" i="10"/>
  <c r="EC148" i="10" s="1"/>
  <c r="EB25" i="10"/>
  <c r="EA25" i="10"/>
  <c r="DZ25" i="10"/>
  <c r="DY25" i="10"/>
  <c r="DY148" i="10" s="1"/>
  <c r="DX25" i="10"/>
  <c r="DW25" i="10"/>
  <c r="DV25" i="10"/>
  <c r="DU25" i="10"/>
  <c r="DT25" i="10"/>
  <c r="DQ25" i="10"/>
  <c r="DQ148" i="10" s="1"/>
  <c r="DP25" i="10"/>
  <c r="DO25" i="10"/>
  <c r="DO148" i="10" s="1"/>
  <c r="DN25" i="10"/>
  <c r="DM25" i="10"/>
  <c r="DL25" i="10"/>
  <c r="DK25" i="10"/>
  <c r="DK148" i="10" s="1"/>
  <c r="DJ25" i="10"/>
  <c r="DI25" i="10"/>
  <c r="DI148" i="10" s="1"/>
  <c r="DH25" i="10"/>
  <c r="DG25" i="10"/>
  <c r="DF25" i="10"/>
  <c r="DD25" i="10"/>
  <c r="DD148" i="10" s="1"/>
  <c r="DC25" i="10"/>
  <c r="DB25" i="10"/>
  <c r="DB148" i="10" s="1"/>
  <c r="DA25" i="10"/>
  <c r="CZ25" i="10"/>
  <c r="CY25" i="10"/>
  <c r="CX25" i="10"/>
  <c r="CX148" i="10" s="1"/>
  <c r="CW25" i="10"/>
  <c r="CV25" i="10"/>
  <c r="CU25" i="10"/>
  <c r="CT25" i="10"/>
  <c r="CS25" i="10"/>
  <c r="CQ25" i="10"/>
  <c r="CP25" i="10"/>
  <c r="CO25" i="10"/>
  <c r="CO148" i="10" s="1"/>
  <c r="CN25" i="10"/>
  <c r="CM25" i="10"/>
  <c r="CL25" i="10"/>
  <c r="CK25" i="10"/>
  <c r="CK148" i="10" s="1"/>
  <c r="CJ25" i="10"/>
  <c r="CI25" i="10"/>
  <c r="CH25" i="10"/>
  <c r="CG25" i="10"/>
  <c r="CF25" i="10"/>
  <c r="CC25" i="10"/>
  <c r="CC148" i="10" s="1"/>
  <c r="CB25" i="10"/>
  <c r="CA25" i="10"/>
  <c r="CA148" i="10" s="1"/>
  <c r="BZ25" i="10"/>
  <c r="BY25" i="10"/>
  <c r="BX25" i="10"/>
  <c r="BW25" i="10"/>
  <c r="BW148" i="10" s="1"/>
  <c r="BV25" i="10"/>
  <c r="BU25" i="10"/>
  <c r="BU148" i="10" s="1"/>
  <c r="BT25" i="10"/>
  <c r="BS25" i="10"/>
  <c r="BR25" i="10"/>
  <c r="BP25" i="10"/>
  <c r="BO25" i="10"/>
  <c r="BN25" i="10"/>
  <c r="BN148" i="10" s="1"/>
  <c r="BM25" i="10"/>
  <c r="BL25" i="10"/>
  <c r="BK25" i="10"/>
  <c r="BJ25" i="10"/>
  <c r="BJ148" i="10" s="1"/>
  <c r="BI25" i="10"/>
  <c r="BH25" i="10"/>
  <c r="BG25" i="10"/>
  <c r="BF25" i="10"/>
  <c r="BE25" i="10"/>
  <c r="BC148" i="10"/>
  <c r="BB25" i="10"/>
  <c r="BA25" i="10"/>
  <c r="BA148" i="10" s="1"/>
  <c r="AZ25" i="10"/>
  <c r="AY25" i="10"/>
  <c r="AW25" i="10"/>
  <c r="AV25" i="10"/>
  <c r="AU25" i="10"/>
  <c r="AT25" i="10"/>
  <c r="AS25" i="10"/>
  <c r="AR25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O147" i="10"/>
  <c r="N147" i="10"/>
  <c r="M147" i="10"/>
  <c r="K147" i="10"/>
  <c r="J147" i="10"/>
  <c r="I147" i="10"/>
  <c r="H147" i="10"/>
  <c r="G147" i="10"/>
  <c r="F147" i="10"/>
  <c r="E147" i="10"/>
  <c r="D147" i="10"/>
  <c r="AO125" i="10"/>
  <c r="AN125" i="10"/>
  <c r="AM125" i="10"/>
  <c r="AL125" i="10"/>
  <c r="AK125" i="10"/>
  <c r="AJ125" i="10"/>
  <c r="AI125" i="10"/>
  <c r="AH125" i="10"/>
  <c r="AG125" i="10"/>
  <c r="AF125" i="10"/>
  <c r="AE125" i="10"/>
  <c r="AD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AP90" i="10"/>
  <c r="AO91" i="10"/>
  <c r="AN91" i="10"/>
  <c r="AM91" i="10"/>
  <c r="AL91" i="10"/>
  <c r="AK91" i="10"/>
  <c r="AJ91" i="10"/>
  <c r="AI91" i="10"/>
  <c r="AH91" i="10"/>
  <c r="AG91" i="10"/>
  <c r="AF91" i="10"/>
  <c r="AE91" i="10"/>
  <c r="AD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N25" i="10"/>
  <c r="M25" i="10"/>
  <c r="L25" i="10"/>
  <c r="K25" i="10"/>
  <c r="J25" i="10"/>
  <c r="I25" i="10"/>
  <c r="H25" i="10"/>
  <c r="G25" i="10"/>
  <c r="F25" i="10"/>
  <c r="E25" i="10"/>
  <c r="D25" i="10"/>
  <c r="P94" i="10"/>
  <c r="BQ5" i="10"/>
  <c r="P5" i="10"/>
  <c r="FF146" i="10"/>
  <c r="ES146" i="10"/>
  <c r="EF146" i="10"/>
  <c r="DR146" i="10"/>
  <c r="DE146" i="10"/>
  <c r="CR146" i="10"/>
  <c r="CD146" i="10"/>
  <c r="BQ146" i="10"/>
  <c r="BD146" i="10"/>
  <c r="AP146" i="10"/>
  <c r="AC146" i="10"/>
  <c r="P146" i="10"/>
  <c r="FF143" i="10"/>
  <c r="ES143" i="10"/>
  <c r="EF143" i="10"/>
  <c r="DR143" i="10"/>
  <c r="DE143" i="10"/>
  <c r="CR143" i="10"/>
  <c r="CD143" i="10"/>
  <c r="BQ143" i="10"/>
  <c r="BD143" i="10"/>
  <c r="AP143" i="10"/>
  <c r="AC143" i="10"/>
  <c r="P143" i="10"/>
  <c r="FF142" i="10"/>
  <c r="ES142" i="10"/>
  <c r="EF142" i="10"/>
  <c r="FF141" i="10"/>
  <c r="ES141" i="10"/>
  <c r="EF141" i="10"/>
  <c r="FF140" i="10"/>
  <c r="ES140" i="10"/>
  <c r="EF140" i="10"/>
  <c r="FF139" i="10"/>
  <c r="ES139" i="10"/>
  <c r="EF139" i="10"/>
  <c r="FF138" i="10"/>
  <c r="ES138" i="10"/>
  <c r="EF138" i="10"/>
  <c r="FF137" i="10"/>
  <c r="ES137" i="10"/>
  <c r="EF137" i="10"/>
  <c r="FF136" i="10"/>
  <c r="ES136" i="10"/>
  <c r="EF136" i="10"/>
  <c r="FF135" i="10"/>
  <c r="ES135" i="10"/>
  <c r="EF135" i="10"/>
  <c r="FF134" i="10"/>
  <c r="ES134" i="10"/>
  <c r="EF134" i="10"/>
  <c r="FF133" i="10"/>
  <c r="ES133" i="10"/>
  <c r="EF133" i="10"/>
  <c r="FF132" i="10"/>
  <c r="ES132" i="10"/>
  <c r="EF132" i="10"/>
  <c r="FF131" i="10"/>
  <c r="ES131" i="10"/>
  <c r="EF131" i="10"/>
  <c r="FF130" i="10"/>
  <c r="ES130" i="10"/>
  <c r="EF130" i="10"/>
  <c r="FF129" i="10"/>
  <c r="ES129" i="10"/>
  <c r="EF129" i="10"/>
  <c r="FF128" i="10"/>
  <c r="ES128" i="10"/>
  <c r="EF128" i="10"/>
  <c r="FF127" i="10"/>
  <c r="ES127" i="10"/>
  <c r="EF127" i="10"/>
  <c r="FF126" i="10"/>
  <c r="ES126" i="10"/>
  <c r="EF126" i="10"/>
  <c r="FF124" i="10"/>
  <c r="ES124" i="10"/>
  <c r="EF124" i="10"/>
  <c r="FF122" i="10"/>
  <c r="ES122" i="10"/>
  <c r="EF122" i="10"/>
  <c r="FF121" i="10"/>
  <c r="ES121" i="10"/>
  <c r="EF121" i="10"/>
  <c r="FF120" i="10"/>
  <c r="ES120" i="10"/>
  <c r="EF120" i="10"/>
  <c r="FF119" i="10"/>
  <c r="ES119" i="10"/>
  <c r="EF119" i="10"/>
  <c r="FF117" i="10"/>
  <c r="ES117" i="10"/>
  <c r="EF117" i="10"/>
  <c r="FF113" i="10"/>
  <c r="ES113" i="10"/>
  <c r="EF113" i="10"/>
  <c r="FF112" i="10"/>
  <c r="ES112" i="10"/>
  <c r="EF112" i="10"/>
  <c r="FF111" i="10"/>
  <c r="ES111" i="10"/>
  <c r="EF111" i="10"/>
  <c r="FF110" i="10"/>
  <c r="ES110" i="10"/>
  <c r="EF110" i="10"/>
  <c r="FF109" i="10"/>
  <c r="ES109" i="10"/>
  <c r="EF109" i="10"/>
  <c r="FF108" i="10"/>
  <c r="ES108" i="10"/>
  <c r="EF108" i="10"/>
  <c r="FF107" i="10"/>
  <c r="ES107" i="10"/>
  <c r="EF107" i="10"/>
  <c r="FF106" i="10"/>
  <c r="ES106" i="10"/>
  <c r="EF106" i="10"/>
  <c r="FF105" i="10"/>
  <c r="ES105" i="10"/>
  <c r="EF105" i="10"/>
  <c r="FF104" i="10"/>
  <c r="ES104" i="10"/>
  <c r="EF104" i="10"/>
  <c r="FF103" i="10"/>
  <c r="ES103" i="10"/>
  <c r="EF103" i="10"/>
  <c r="FF102" i="10"/>
  <c r="ES102" i="10"/>
  <c r="EF102" i="10"/>
  <c r="FF101" i="10"/>
  <c r="ES101" i="10"/>
  <c r="EF101" i="10"/>
  <c r="FF100" i="10"/>
  <c r="ES100" i="10"/>
  <c r="EF100" i="10"/>
  <c r="FF99" i="10"/>
  <c r="ES99" i="10"/>
  <c r="EF99" i="10"/>
  <c r="FF98" i="10"/>
  <c r="ES98" i="10"/>
  <c r="EF98" i="10"/>
  <c r="FF97" i="10"/>
  <c r="ES97" i="10"/>
  <c r="EF97" i="10"/>
  <c r="FF95" i="10"/>
  <c r="ES95" i="10"/>
  <c r="EF95" i="10"/>
  <c r="FF94" i="10"/>
  <c r="ES94" i="10"/>
  <c r="EF94" i="10"/>
  <c r="FF93" i="10"/>
  <c r="ES93" i="10"/>
  <c r="EF93" i="10"/>
  <c r="FF92" i="10"/>
  <c r="ES92" i="10"/>
  <c r="EF92" i="10"/>
  <c r="FF90" i="10"/>
  <c r="ES90" i="10"/>
  <c r="EF90" i="10"/>
  <c r="FF88" i="10"/>
  <c r="ES88" i="10"/>
  <c r="EF88" i="10"/>
  <c r="FF87" i="10"/>
  <c r="ES87" i="10"/>
  <c r="EF87" i="10"/>
  <c r="FF85" i="10"/>
  <c r="ES85" i="10"/>
  <c r="EF85" i="10"/>
  <c r="FF84" i="10"/>
  <c r="ES84" i="10"/>
  <c r="EF84" i="10"/>
  <c r="FF83" i="10"/>
  <c r="ES83" i="10"/>
  <c r="EF83" i="10"/>
  <c r="FF82" i="10"/>
  <c r="ES82" i="10"/>
  <c r="EF82" i="10"/>
  <c r="FF81" i="10"/>
  <c r="ES81" i="10"/>
  <c r="EF81" i="10"/>
  <c r="FF80" i="10"/>
  <c r="ES80" i="10"/>
  <c r="EF80" i="10"/>
  <c r="FF79" i="10"/>
  <c r="ES79" i="10"/>
  <c r="EF79" i="10"/>
  <c r="FF78" i="10"/>
  <c r="ES78" i="10"/>
  <c r="EF78" i="10"/>
  <c r="FF77" i="10"/>
  <c r="ES77" i="10"/>
  <c r="EF77" i="10"/>
  <c r="FF76" i="10"/>
  <c r="ES76" i="10"/>
  <c r="EF76" i="10"/>
  <c r="FF75" i="10"/>
  <c r="ES75" i="10"/>
  <c r="EF75" i="10"/>
  <c r="FF74" i="10"/>
  <c r="ES74" i="10"/>
  <c r="EF74" i="10"/>
  <c r="FF73" i="10"/>
  <c r="ES73" i="10"/>
  <c r="EF73" i="10"/>
  <c r="FF72" i="10"/>
  <c r="ES72" i="10"/>
  <c r="EF72" i="10"/>
  <c r="FF71" i="10"/>
  <c r="ES71" i="10"/>
  <c r="EF71" i="10"/>
  <c r="FF70" i="10"/>
  <c r="ES70" i="10"/>
  <c r="EF70" i="10"/>
  <c r="FF68" i="10"/>
  <c r="ES68" i="10"/>
  <c r="EF68" i="10"/>
  <c r="FF64" i="10"/>
  <c r="ES64" i="10"/>
  <c r="EF64" i="10"/>
  <c r="FF63" i="10"/>
  <c r="ES63" i="10"/>
  <c r="EF63" i="10"/>
  <c r="FF62" i="10"/>
  <c r="ES62" i="10"/>
  <c r="EF62" i="10"/>
  <c r="FF61" i="10"/>
  <c r="ES61" i="10"/>
  <c r="EF61" i="10"/>
  <c r="FF60" i="10"/>
  <c r="ES60" i="10"/>
  <c r="EF60" i="10"/>
  <c r="FF59" i="10"/>
  <c r="ES59" i="10"/>
  <c r="EF59" i="10"/>
  <c r="FF58" i="10"/>
  <c r="ES58" i="10"/>
  <c r="EF58" i="10"/>
  <c r="FF57" i="10"/>
  <c r="ES57" i="10"/>
  <c r="EF57" i="10"/>
  <c r="FF56" i="10"/>
  <c r="ES56" i="10"/>
  <c r="EF56" i="10"/>
  <c r="FF55" i="10"/>
  <c r="ES55" i="10"/>
  <c r="EF55" i="10"/>
  <c r="FF54" i="10"/>
  <c r="ES54" i="10"/>
  <c r="EF54" i="10"/>
  <c r="FF53" i="10"/>
  <c r="ES53" i="10"/>
  <c r="EF53" i="10"/>
  <c r="FF52" i="10"/>
  <c r="ES52" i="10"/>
  <c r="EF52" i="10"/>
  <c r="FF51" i="10"/>
  <c r="ES51" i="10"/>
  <c r="EF51" i="10"/>
  <c r="FF50" i="10"/>
  <c r="ES50" i="10"/>
  <c r="EF50" i="10"/>
  <c r="FF49" i="10"/>
  <c r="ES49" i="10"/>
  <c r="EF49" i="10"/>
  <c r="FF48" i="10"/>
  <c r="ES48" i="10"/>
  <c r="EF48" i="10"/>
  <c r="FF47" i="10"/>
  <c r="ES47" i="10"/>
  <c r="EF47" i="10"/>
  <c r="FF46" i="10"/>
  <c r="ES46" i="10"/>
  <c r="EF46" i="10"/>
  <c r="FF45" i="10"/>
  <c r="ES45" i="10"/>
  <c r="EF45" i="10"/>
  <c r="FF44" i="10"/>
  <c r="ES44" i="10"/>
  <c r="EF44" i="10"/>
  <c r="FF43" i="10"/>
  <c r="ES43" i="10"/>
  <c r="EF43" i="10"/>
  <c r="FF42" i="10"/>
  <c r="ES42" i="10"/>
  <c r="EF42" i="10"/>
  <c r="FF41" i="10"/>
  <c r="ES41" i="10"/>
  <c r="EF41" i="10"/>
  <c r="FF40" i="10"/>
  <c r="ES40" i="10"/>
  <c r="EF40" i="10"/>
  <c r="FF39" i="10"/>
  <c r="ES39" i="10"/>
  <c r="EF39" i="10"/>
  <c r="FF38" i="10"/>
  <c r="ES38" i="10"/>
  <c r="EF38" i="10"/>
  <c r="FF37" i="10"/>
  <c r="ES37" i="10"/>
  <c r="EF37" i="10"/>
  <c r="FF36" i="10"/>
  <c r="ES36" i="10"/>
  <c r="EF36" i="10"/>
  <c r="FF35" i="10"/>
  <c r="ES35" i="10"/>
  <c r="EF35" i="10"/>
  <c r="FF34" i="10"/>
  <c r="ES34" i="10"/>
  <c r="EF34" i="10"/>
  <c r="FF33" i="10"/>
  <c r="ES33" i="10"/>
  <c r="EF33" i="10"/>
  <c r="FF32" i="10"/>
  <c r="ES32" i="10"/>
  <c r="EF32" i="10"/>
  <c r="FF31" i="10"/>
  <c r="ES31" i="10"/>
  <c r="EF31" i="10"/>
  <c r="FF30" i="10"/>
  <c r="ES30" i="10"/>
  <c r="EF30" i="10"/>
  <c r="FF29" i="10"/>
  <c r="ES29" i="10"/>
  <c r="EF29" i="10"/>
  <c r="FF28" i="10"/>
  <c r="ES28" i="10"/>
  <c r="EF28" i="10"/>
  <c r="FF27" i="10"/>
  <c r="ES27" i="10"/>
  <c r="EF27" i="10"/>
  <c r="FF26" i="10"/>
  <c r="ES26" i="10"/>
  <c r="EF26" i="10"/>
  <c r="FF24" i="10"/>
  <c r="ES24" i="10"/>
  <c r="EF24" i="10"/>
  <c r="FF19" i="10"/>
  <c r="ES19" i="10"/>
  <c r="EF19" i="10"/>
  <c r="FF18" i="10"/>
  <c r="ES18" i="10"/>
  <c r="EF18" i="10"/>
  <c r="FF17" i="10"/>
  <c r="ES17" i="10"/>
  <c r="EF17" i="10"/>
  <c r="FF16" i="10"/>
  <c r="ES16" i="10"/>
  <c r="EF16" i="10"/>
  <c r="FF15" i="10"/>
  <c r="ES15" i="10"/>
  <c r="EF15" i="10"/>
  <c r="FF14" i="10"/>
  <c r="ES14" i="10"/>
  <c r="EF14" i="10"/>
  <c r="FF13" i="10"/>
  <c r="ES13" i="10"/>
  <c r="EF13" i="10"/>
  <c r="FF12" i="10"/>
  <c r="ES12" i="10"/>
  <c r="EF12" i="10"/>
  <c r="FF11" i="10"/>
  <c r="ES11" i="10"/>
  <c r="EF11" i="10"/>
  <c r="FF10" i="10"/>
  <c r="ES10" i="10"/>
  <c r="EF10" i="10"/>
  <c r="FF9" i="10"/>
  <c r="ES9" i="10"/>
  <c r="EF9" i="10"/>
  <c r="FF8" i="10"/>
  <c r="ES8" i="10"/>
  <c r="EF8" i="10"/>
  <c r="FF7" i="10"/>
  <c r="ES7" i="10"/>
  <c r="EF7" i="10"/>
  <c r="FF6" i="10"/>
  <c r="ES6" i="10"/>
  <c r="EF6" i="10"/>
  <c r="FF5" i="10"/>
  <c r="ES5" i="10"/>
  <c r="EF5" i="10"/>
  <c r="DR142" i="10"/>
  <c r="DE142" i="10"/>
  <c r="CR142" i="10"/>
  <c r="DR141" i="10"/>
  <c r="DE141" i="10"/>
  <c r="CR141" i="10"/>
  <c r="DR140" i="10"/>
  <c r="DE140" i="10"/>
  <c r="CR140" i="10"/>
  <c r="DR139" i="10"/>
  <c r="DE139" i="10"/>
  <c r="CR139" i="10"/>
  <c r="DR138" i="10"/>
  <c r="DE138" i="10"/>
  <c r="CR138" i="10"/>
  <c r="DR137" i="10"/>
  <c r="DE137" i="10"/>
  <c r="CR137" i="10"/>
  <c r="DR136" i="10"/>
  <c r="DE136" i="10"/>
  <c r="CR136" i="10"/>
  <c r="DR135" i="10"/>
  <c r="DE135" i="10"/>
  <c r="CR135" i="10"/>
  <c r="DR134" i="10"/>
  <c r="DE134" i="10"/>
  <c r="CR134" i="10"/>
  <c r="DR133" i="10"/>
  <c r="DE133" i="10"/>
  <c r="CR133" i="10"/>
  <c r="DR132" i="10"/>
  <c r="DE132" i="10"/>
  <c r="CR132" i="10"/>
  <c r="DR131" i="10"/>
  <c r="DE131" i="10"/>
  <c r="CR131" i="10"/>
  <c r="DR130" i="10"/>
  <c r="DE130" i="10"/>
  <c r="CR130" i="10"/>
  <c r="DR129" i="10"/>
  <c r="DE129" i="10"/>
  <c r="CR129" i="10"/>
  <c r="DR128" i="10"/>
  <c r="DE128" i="10"/>
  <c r="CR128" i="10"/>
  <c r="DR127" i="10"/>
  <c r="DE127" i="10"/>
  <c r="CR127" i="10"/>
  <c r="DR126" i="10"/>
  <c r="DE126" i="10"/>
  <c r="CR126" i="10"/>
  <c r="DR124" i="10"/>
  <c r="DE124" i="10"/>
  <c r="CR124" i="10"/>
  <c r="DR122" i="10"/>
  <c r="DE122" i="10"/>
  <c r="CR122" i="10"/>
  <c r="DR121" i="10"/>
  <c r="DE121" i="10"/>
  <c r="CR121" i="10"/>
  <c r="DR120" i="10"/>
  <c r="DE120" i="10"/>
  <c r="CR120" i="10"/>
  <c r="DR119" i="10"/>
  <c r="DE119" i="10"/>
  <c r="CR119" i="10"/>
  <c r="DR117" i="10"/>
  <c r="DE117" i="10"/>
  <c r="CR117" i="10"/>
  <c r="DR113" i="10"/>
  <c r="DE113" i="10"/>
  <c r="CR113" i="10"/>
  <c r="DR112" i="10"/>
  <c r="DE112" i="10"/>
  <c r="CR112" i="10"/>
  <c r="DR111" i="10"/>
  <c r="DE111" i="10"/>
  <c r="CR111" i="10"/>
  <c r="DR110" i="10"/>
  <c r="DE110" i="10"/>
  <c r="CR110" i="10"/>
  <c r="DR109" i="10"/>
  <c r="DE109" i="10"/>
  <c r="CR109" i="10"/>
  <c r="DR108" i="10"/>
  <c r="DE108" i="10"/>
  <c r="CR108" i="10"/>
  <c r="DR107" i="10"/>
  <c r="DE107" i="10"/>
  <c r="CR107" i="10"/>
  <c r="DR106" i="10"/>
  <c r="DE106" i="10"/>
  <c r="CR106" i="10"/>
  <c r="DR105" i="10"/>
  <c r="DE105" i="10"/>
  <c r="CR105" i="10"/>
  <c r="DR104" i="10"/>
  <c r="DE104" i="10"/>
  <c r="CR104" i="10"/>
  <c r="DR103" i="10"/>
  <c r="DE103" i="10"/>
  <c r="CR103" i="10"/>
  <c r="DR102" i="10"/>
  <c r="DE102" i="10"/>
  <c r="CR102" i="10"/>
  <c r="DR101" i="10"/>
  <c r="DE101" i="10"/>
  <c r="CR101" i="10"/>
  <c r="DR100" i="10"/>
  <c r="DE100" i="10"/>
  <c r="CR100" i="10"/>
  <c r="DR99" i="10"/>
  <c r="DE99" i="10"/>
  <c r="CR99" i="10"/>
  <c r="DR98" i="10"/>
  <c r="DE98" i="10"/>
  <c r="CR98" i="10"/>
  <c r="DR97" i="10"/>
  <c r="DE97" i="10"/>
  <c r="CR97" i="10"/>
  <c r="DR95" i="10"/>
  <c r="DE95" i="10"/>
  <c r="CR95" i="10"/>
  <c r="DR94" i="10"/>
  <c r="DE94" i="10"/>
  <c r="CR94" i="10"/>
  <c r="DR93" i="10"/>
  <c r="DE93" i="10"/>
  <c r="CR93" i="10"/>
  <c r="DR92" i="10"/>
  <c r="DE92" i="10"/>
  <c r="CR92" i="10"/>
  <c r="DR90" i="10"/>
  <c r="DE90" i="10"/>
  <c r="CR90" i="10"/>
  <c r="DR88" i="10"/>
  <c r="DE88" i="10"/>
  <c r="CR88" i="10"/>
  <c r="DR87" i="10"/>
  <c r="DE87" i="10"/>
  <c r="CR87" i="10"/>
  <c r="DR85" i="10"/>
  <c r="DE85" i="10"/>
  <c r="CR85" i="10"/>
  <c r="DR84" i="10"/>
  <c r="DE84" i="10"/>
  <c r="CR84" i="10"/>
  <c r="DR83" i="10"/>
  <c r="DE83" i="10"/>
  <c r="CR83" i="10"/>
  <c r="DR82" i="10"/>
  <c r="DE82" i="10"/>
  <c r="CR82" i="10"/>
  <c r="DR81" i="10"/>
  <c r="DE81" i="10"/>
  <c r="CR81" i="10"/>
  <c r="DR80" i="10"/>
  <c r="DE80" i="10"/>
  <c r="CR80" i="10"/>
  <c r="DR79" i="10"/>
  <c r="DE79" i="10"/>
  <c r="CR79" i="10"/>
  <c r="DR78" i="10"/>
  <c r="DE78" i="10"/>
  <c r="CR78" i="10"/>
  <c r="DR77" i="10"/>
  <c r="DE77" i="10"/>
  <c r="CR77" i="10"/>
  <c r="DR76" i="10"/>
  <c r="DE76" i="10"/>
  <c r="CR76" i="10"/>
  <c r="DR75" i="10"/>
  <c r="DE75" i="10"/>
  <c r="CR75" i="10"/>
  <c r="DR74" i="10"/>
  <c r="DE74" i="10"/>
  <c r="CR74" i="10"/>
  <c r="DR73" i="10"/>
  <c r="DE73" i="10"/>
  <c r="CR73" i="10"/>
  <c r="DR72" i="10"/>
  <c r="DE72" i="10"/>
  <c r="CR72" i="10"/>
  <c r="DR71" i="10"/>
  <c r="DE71" i="10"/>
  <c r="CR71" i="10"/>
  <c r="DR70" i="10"/>
  <c r="DE70" i="10"/>
  <c r="CR70" i="10"/>
  <c r="DR68" i="10"/>
  <c r="DE68" i="10"/>
  <c r="CR68" i="10"/>
  <c r="DR64" i="10"/>
  <c r="DE64" i="10"/>
  <c r="CR64" i="10"/>
  <c r="DR63" i="10"/>
  <c r="DE63" i="10"/>
  <c r="CR63" i="10"/>
  <c r="DR62" i="10"/>
  <c r="DE62" i="10"/>
  <c r="CR62" i="10"/>
  <c r="DR61" i="10"/>
  <c r="DE61" i="10"/>
  <c r="CR61" i="10"/>
  <c r="DR60" i="10"/>
  <c r="DE60" i="10"/>
  <c r="CR60" i="10"/>
  <c r="DR59" i="10"/>
  <c r="DE59" i="10"/>
  <c r="CR59" i="10"/>
  <c r="DR58" i="10"/>
  <c r="DE58" i="10"/>
  <c r="CR58" i="10"/>
  <c r="DR57" i="10"/>
  <c r="DE57" i="10"/>
  <c r="CR57" i="10"/>
  <c r="DR56" i="10"/>
  <c r="DE56" i="10"/>
  <c r="CR56" i="10"/>
  <c r="DR55" i="10"/>
  <c r="DE55" i="10"/>
  <c r="CR55" i="10"/>
  <c r="DR54" i="10"/>
  <c r="DE54" i="10"/>
  <c r="CR54" i="10"/>
  <c r="DR53" i="10"/>
  <c r="DE53" i="10"/>
  <c r="CR53" i="10"/>
  <c r="DR52" i="10"/>
  <c r="DE52" i="10"/>
  <c r="CR52" i="10"/>
  <c r="DR51" i="10"/>
  <c r="DE51" i="10"/>
  <c r="CR51" i="10"/>
  <c r="DR50" i="10"/>
  <c r="DE50" i="10"/>
  <c r="CR50" i="10"/>
  <c r="DR49" i="10"/>
  <c r="DE49" i="10"/>
  <c r="CR49" i="10"/>
  <c r="DR48" i="10"/>
  <c r="DE48" i="10"/>
  <c r="CR48" i="10"/>
  <c r="DR47" i="10"/>
  <c r="DE47" i="10"/>
  <c r="CR47" i="10"/>
  <c r="DR46" i="10"/>
  <c r="DE46" i="10"/>
  <c r="CR46" i="10"/>
  <c r="DR45" i="10"/>
  <c r="DE45" i="10"/>
  <c r="CR45" i="10"/>
  <c r="DR44" i="10"/>
  <c r="DE44" i="10"/>
  <c r="CR44" i="10"/>
  <c r="DR43" i="10"/>
  <c r="DE43" i="10"/>
  <c r="CR43" i="10"/>
  <c r="DR42" i="10"/>
  <c r="DE42" i="10"/>
  <c r="CR42" i="10"/>
  <c r="DR41" i="10"/>
  <c r="DE41" i="10"/>
  <c r="CR41" i="10"/>
  <c r="DR40" i="10"/>
  <c r="DE40" i="10"/>
  <c r="CR40" i="10"/>
  <c r="DR39" i="10"/>
  <c r="DE39" i="10"/>
  <c r="CR39" i="10"/>
  <c r="DR38" i="10"/>
  <c r="DE38" i="10"/>
  <c r="CR38" i="10"/>
  <c r="DR37" i="10"/>
  <c r="DE37" i="10"/>
  <c r="CR37" i="10"/>
  <c r="DR36" i="10"/>
  <c r="DE36" i="10"/>
  <c r="CR36" i="10"/>
  <c r="DR35" i="10"/>
  <c r="DE35" i="10"/>
  <c r="CR35" i="10"/>
  <c r="DR34" i="10"/>
  <c r="DE34" i="10"/>
  <c r="CR34" i="10"/>
  <c r="DR33" i="10"/>
  <c r="DE33" i="10"/>
  <c r="CR33" i="10"/>
  <c r="DR32" i="10"/>
  <c r="DE32" i="10"/>
  <c r="CR32" i="10"/>
  <c r="DR31" i="10"/>
  <c r="DE31" i="10"/>
  <c r="CR31" i="10"/>
  <c r="DR30" i="10"/>
  <c r="DE30" i="10"/>
  <c r="CR30" i="10"/>
  <c r="DR29" i="10"/>
  <c r="DE29" i="10"/>
  <c r="CR29" i="10"/>
  <c r="DR28" i="10"/>
  <c r="DE28" i="10"/>
  <c r="CR28" i="10"/>
  <c r="DR27" i="10"/>
  <c r="DE27" i="10"/>
  <c r="CR27" i="10"/>
  <c r="DR26" i="10"/>
  <c r="DE26" i="10"/>
  <c r="CR26" i="10"/>
  <c r="DR24" i="10"/>
  <c r="DE24" i="10"/>
  <c r="CR24" i="10"/>
  <c r="DR19" i="10"/>
  <c r="DE19" i="10"/>
  <c r="CR19" i="10"/>
  <c r="DR18" i="10"/>
  <c r="DE18" i="10"/>
  <c r="CR18" i="10"/>
  <c r="DR17" i="10"/>
  <c r="DE17" i="10"/>
  <c r="CR17" i="10"/>
  <c r="DR16" i="10"/>
  <c r="DE16" i="10"/>
  <c r="CR16" i="10"/>
  <c r="DR15" i="10"/>
  <c r="DE15" i="10"/>
  <c r="CR15" i="10"/>
  <c r="DR14" i="10"/>
  <c r="DE14" i="10"/>
  <c r="CR14" i="10"/>
  <c r="DR13" i="10"/>
  <c r="DE13" i="10"/>
  <c r="CR13" i="10"/>
  <c r="DR12" i="10"/>
  <c r="DE12" i="10"/>
  <c r="CR12" i="10"/>
  <c r="DR11" i="10"/>
  <c r="DE11" i="10"/>
  <c r="CR11" i="10"/>
  <c r="DR10" i="10"/>
  <c r="DE10" i="10"/>
  <c r="CR10" i="10"/>
  <c r="DR9" i="10"/>
  <c r="DE9" i="10"/>
  <c r="CR9" i="10"/>
  <c r="DR8" i="10"/>
  <c r="DE8" i="10"/>
  <c r="CR8" i="10"/>
  <c r="DR7" i="10"/>
  <c r="DE7" i="10"/>
  <c r="CR7" i="10"/>
  <c r="DR6" i="10"/>
  <c r="DE6" i="10"/>
  <c r="CR6" i="10"/>
  <c r="DR5" i="10"/>
  <c r="DE5" i="10"/>
  <c r="CR5" i="10"/>
  <c r="CD5" i="10"/>
  <c r="BD5" i="10"/>
  <c r="CD142" i="10"/>
  <c r="BQ142" i="10"/>
  <c r="BD142" i="10"/>
  <c r="CD141" i="10"/>
  <c r="BQ141" i="10"/>
  <c r="BD141" i="10"/>
  <c r="CD140" i="10"/>
  <c r="BQ140" i="10"/>
  <c r="BD140" i="10"/>
  <c r="CD139" i="10"/>
  <c r="BQ139" i="10"/>
  <c r="BD139" i="10"/>
  <c r="CD138" i="10"/>
  <c r="BQ138" i="10"/>
  <c r="BD138" i="10"/>
  <c r="CD137" i="10"/>
  <c r="BQ137" i="10"/>
  <c r="BD137" i="10"/>
  <c r="CD136" i="10"/>
  <c r="BQ136" i="10"/>
  <c r="BD136" i="10"/>
  <c r="CD135" i="10"/>
  <c r="BQ135" i="10"/>
  <c r="BD135" i="10"/>
  <c r="CD134" i="10"/>
  <c r="BQ134" i="10"/>
  <c r="BD134" i="10"/>
  <c r="CD133" i="10"/>
  <c r="BQ133" i="10"/>
  <c r="BD133" i="10"/>
  <c r="CD132" i="10"/>
  <c r="BQ132" i="10"/>
  <c r="BD132" i="10"/>
  <c r="CD131" i="10"/>
  <c r="BQ131" i="10"/>
  <c r="BD131" i="10"/>
  <c r="CD130" i="10"/>
  <c r="BQ130" i="10"/>
  <c r="BD130" i="10"/>
  <c r="CD129" i="10"/>
  <c r="BQ129" i="10"/>
  <c r="BD129" i="10"/>
  <c r="CD128" i="10"/>
  <c r="BQ128" i="10"/>
  <c r="BD128" i="10"/>
  <c r="CD127" i="10"/>
  <c r="BQ127" i="10"/>
  <c r="BD127" i="10"/>
  <c r="CD126" i="10"/>
  <c r="BQ126" i="10"/>
  <c r="BD126" i="10"/>
  <c r="CD124" i="10"/>
  <c r="BQ124" i="10"/>
  <c r="BD124" i="10"/>
  <c r="CD122" i="10"/>
  <c r="BQ122" i="10"/>
  <c r="BD122" i="10"/>
  <c r="CD121" i="10"/>
  <c r="BQ121" i="10"/>
  <c r="BD121" i="10"/>
  <c r="CD120" i="10"/>
  <c r="BQ120" i="10"/>
  <c r="BD120" i="10"/>
  <c r="CD119" i="10"/>
  <c r="BQ119" i="10"/>
  <c r="BD119" i="10"/>
  <c r="CD117" i="10"/>
  <c r="BQ117" i="10"/>
  <c r="BD117" i="10"/>
  <c r="CD113" i="10"/>
  <c r="BQ113" i="10"/>
  <c r="BD113" i="10"/>
  <c r="CD112" i="10"/>
  <c r="BQ112" i="10"/>
  <c r="BD112" i="10"/>
  <c r="CD111" i="10"/>
  <c r="BQ111" i="10"/>
  <c r="BD111" i="10"/>
  <c r="CD110" i="10"/>
  <c r="BQ110" i="10"/>
  <c r="BD110" i="10"/>
  <c r="CD109" i="10"/>
  <c r="BQ109" i="10"/>
  <c r="BD109" i="10"/>
  <c r="CD108" i="10"/>
  <c r="BQ108" i="10"/>
  <c r="BD108" i="10"/>
  <c r="CD107" i="10"/>
  <c r="BQ107" i="10"/>
  <c r="BD107" i="10"/>
  <c r="CD106" i="10"/>
  <c r="BQ106" i="10"/>
  <c r="BD106" i="10"/>
  <c r="CD105" i="10"/>
  <c r="BQ105" i="10"/>
  <c r="BD105" i="10"/>
  <c r="CD104" i="10"/>
  <c r="BQ104" i="10"/>
  <c r="BD104" i="10"/>
  <c r="CD103" i="10"/>
  <c r="BQ103" i="10"/>
  <c r="BD103" i="10"/>
  <c r="CD102" i="10"/>
  <c r="BQ102" i="10"/>
  <c r="BD102" i="10"/>
  <c r="CD101" i="10"/>
  <c r="BQ101" i="10"/>
  <c r="BD101" i="10"/>
  <c r="CD100" i="10"/>
  <c r="BQ100" i="10"/>
  <c r="BD100" i="10"/>
  <c r="CD99" i="10"/>
  <c r="BQ99" i="10"/>
  <c r="BD99" i="10"/>
  <c r="CD98" i="10"/>
  <c r="BQ98" i="10"/>
  <c r="BD98" i="10"/>
  <c r="CD97" i="10"/>
  <c r="BQ97" i="10"/>
  <c r="BD97" i="10"/>
  <c r="CD95" i="10"/>
  <c r="BQ95" i="10"/>
  <c r="BD95" i="10"/>
  <c r="CD94" i="10"/>
  <c r="BQ94" i="10"/>
  <c r="BD94" i="10"/>
  <c r="CD93" i="10"/>
  <c r="BQ93" i="10"/>
  <c r="BD93" i="10"/>
  <c r="CD92" i="10"/>
  <c r="BQ92" i="10"/>
  <c r="BD92" i="10"/>
  <c r="CD90" i="10"/>
  <c r="BQ90" i="10"/>
  <c r="BD90" i="10"/>
  <c r="CD88" i="10"/>
  <c r="BQ88" i="10"/>
  <c r="BD88" i="10"/>
  <c r="CD87" i="10"/>
  <c r="BQ87" i="10"/>
  <c r="BD87" i="10"/>
  <c r="CD85" i="10"/>
  <c r="BQ85" i="10"/>
  <c r="BD85" i="10"/>
  <c r="CD84" i="10"/>
  <c r="BQ84" i="10"/>
  <c r="BD84" i="10"/>
  <c r="CD83" i="10"/>
  <c r="BQ83" i="10"/>
  <c r="BD83" i="10"/>
  <c r="CD82" i="10"/>
  <c r="BQ82" i="10"/>
  <c r="BD82" i="10"/>
  <c r="CD81" i="10"/>
  <c r="BQ81" i="10"/>
  <c r="BD81" i="10"/>
  <c r="CD80" i="10"/>
  <c r="BQ80" i="10"/>
  <c r="BD80" i="10"/>
  <c r="CD79" i="10"/>
  <c r="BQ79" i="10"/>
  <c r="BD79" i="10"/>
  <c r="CD78" i="10"/>
  <c r="BQ78" i="10"/>
  <c r="BD78" i="10"/>
  <c r="CD77" i="10"/>
  <c r="BQ77" i="10"/>
  <c r="BD77" i="10"/>
  <c r="CD76" i="10"/>
  <c r="BQ76" i="10"/>
  <c r="BD76" i="10"/>
  <c r="CD75" i="10"/>
  <c r="BQ75" i="10"/>
  <c r="BD75" i="10"/>
  <c r="CD74" i="10"/>
  <c r="BQ74" i="10"/>
  <c r="BD74" i="10"/>
  <c r="CD73" i="10"/>
  <c r="BQ73" i="10"/>
  <c r="BD73" i="10"/>
  <c r="CD72" i="10"/>
  <c r="BQ72" i="10"/>
  <c r="BD72" i="10"/>
  <c r="CD71" i="10"/>
  <c r="BQ71" i="10"/>
  <c r="BD71" i="10"/>
  <c r="CD70" i="10"/>
  <c r="BQ70" i="10"/>
  <c r="BD70" i="10"/>
  <c r="CD68" i="10"/>
  <c r="BQ68" i="10"/>
  <c r="BD68" i="10"/>
  <c r="CD64" i="10"/>
  <c r="BQ64" i="10"/>
  <c r="CD63" i="10"/>
  <c r="BQ63" i="10"/>
  <c r="BD63" i="10"/>
  <c r="CD62" i="10"/>
  <c r="BQ62" i="10"/>
  <c r="BD62" i="10"/>
  <c r="CD61" i="10"/>
  <c r="BQ61" i="10"/>
  <c r="BD61" i="10"/>
  <c r="CD60" i="10"/>
  <c r="BQ60" i="10"/>
  <c r="BD60" i="10"/>
  <c r="CD59" i="10"/>
  <c r="BQ59" i="10"/>
  <c r="BD59" i="10"/>
  <c r="CD58" i="10"/>
  <c r="BQ58" i="10"/>
  <c r="BD58" i="10"/>
  <c r="CD57" i="10"/>
  <c r="BQ57" i="10"/>
  <c r="BD57" i="10"/>
  <c r="CD56" i="10"/>
  <c r="BQ56" i="10"/>
  <c r="BD56" i="10"/>
  <c r="CD55" i="10"/>
  <c r="BQ55" i="10"/>
  <c r="BD55" i="10"/>
  <c r="CD54" i="10"/>
  <c r="BQ54" i="10"/>
  <c r="BD54" i="10"/>
  <c r="CD53" i="10"/>
  <c r="BQ53" i="10"/>
  <c r="BD53" i="10"/>
  <c r="CD52" i="10"/>
  <c r="BQ52" i="10"/>
  <c r="BD52" i="10"/>
  <c r="CD51" i="10"/>
  <c r="BQ51" i="10"/>
  <c r="BD51" i="10"/>
  <c r="CD50" i="10"/>
  <c r="BQ50" i="10"/>
  <c r="BD50" i="10"/>
  <c r="CD49" i="10"/>
  <c r="BQ49" i="10"/>
  <c r="BD49" i="10"/>
  <c r="CD48" i="10"/>
  <c r="BQ48" i="10"/>
  <c r="BD48" i="10"/>
  <c r="CD47" i="10"/>
  <c r="BQ47" i="10"/>
  <c r="BD47" i="10"/>
  <c r="CD46" i="10"/>
  <c r="BQ46" i="10"/>
  <c r="BD46" i="10"/>
  <c r="CD45" i="10"/>
  <c r="BQ45" i="10"/>
  <c r="BD45" i="10"/>
  <c r="CD44" i="10"/>
  <c r="BQ44" i="10"/>
  <c r="BD44" i="10"/>
  <c r="CD43" i="10"/>
  <c r="BQ43" i="10"/>
  <c r="BD43" i="10"/>
  <c r="CD42" i="10"/>
  <c r="BQ42" i="10"/>
  <c r="BD42" i="10"/>
  <c r="CD41" i="10"/>
  <c r="BQ41" i="10"/>
  <c r="BD41" i="10"/>
  <c r="CD40" i="10"/>
  <c r="BQ40" i="10"/>
  <c r="BD40" i="10"/>
  <c r="CD39" i="10"/>
  <c r="BQ39" i="10"/>
  <c r="BD39" i="10"/>
  <c r="CD38" i="10"/>
  <c r="BQ38" i="10"/>
  <c r="BD38" i="10"/>
  <c r="CD37" i="10"/>
  <c r="BQ37" i="10"/>
  <c r="BD37" i="10"/>
  <c r="CD36" i="10"/>
  <c r="BQ36" i="10"/>
  <c r="BD36" i="10"/>
  <c r="CD35" i="10"/>
  <c r="BQ35" i="10"/>
  <c r="BD35" i="10"/>
  <c r="CD34" i="10"/>
  <c r="BQ34" i="10"/>
  <c r="BD34" i="10"/>
  <c r="CD33" i="10"/>
  <c r="BQ33" i="10"/>
  <c r="BD33" i="10"/>
  <c r="CD32" i="10"/>
  <c r="BQ32" i="10"/>
  <c r="BD32" i="10"/>
  <c r="CD31" i="10"/>
  <c r="BQ31" i="10"/>
  <c r="BD31" i="10"/>
  <c r="CD30" i="10"/>
  <c r="BQ30" i="10"/>
  <c r="BD30" i="10"/>
  <c r="CD29" i="10"/>
  <c r="BQ29" i="10"/>
  <c r="BD29" i="10"/>
  <c r="CD28" i="10"/>
  <c r="BQ28" i="10"/>
  <c r="BD28" i="10"/>
  <c r="CD27" i="10"/>
  <c r="BQ27" i="10"/>
  <c r="BD27" i="10"/>
  <c r="CD26" i="10"/>
  <c r="BQ26" i="10"/>
  <c r="BD26" i="10"/>
  <c r="CD24" i="10"/>
  <c r="BQ24" i="10"/>
  <c r="BD24" i="10"/>
  <c r="CD19" i="10"/>
  <c r="BQ19" i="10"/>
  <c r="BD19" i="10"/>
  <c r="CD18" i="10"/>
  <c r="BQ18" i="10"/>
  <c r="BD18" i="10"/>
  <c r="CD17" i="10"/>
  <c r="BQ17" i="10"/>
  <c r="BD17" i="10"/>
  <c r="CD16" i="10"/>
  <c r="BQ16" i="10"/>
  <c r="BD16" i="10"/>
  <c r="CD15" i="10"/>
  <c r="BQ15" i="10"/>
  <c r="BD15" i="10"/>
  <c r="CD14" i="10"/>
  <c r="BQ14" i="10"/>
  <c r="BD14" i="10"/>
  <c r="CD13" i="10"/>
  <c r="BQ13" i="10"/>
  <c r="BD13" i="10"/>
  <c r="CD12" i="10"/>
  <c r="BQ12" i="10"/>
  <c r="BD12" i="10"/>
  <c r="CD11" i="10"/>
  <c r="BQ11" i="10"/>
  <c r="BD11" i="10"/>
  <c r="CD10" i="10"/>
  <c r="BQ10" i="10"/>
  <c r="BD10" i="10"/>
  <c r="CD9" i="10"/>
  <c r="BQ9" i="10"/>
  <c r="BD9" i="10"/>
  <c r="CD8" i="10"/>
  <c r="BQ8" i="10"/>
  <c r="BD8" i="10"/>
  <c r="CD7" i="10"/>
  <c r="BQ7" i="10"/>
  <c r="BD7" i="10"/>
  <c r="CD6" i="10"/>
  <c r="BQ6" i="10"/>
  <c r="BD6" i="10"/>
  <c r="AP142" i="10"/>
  <c r="AP141" i="10"/>
  <c r="AP140" i="10"/>
  <c r="AP139" i="10"/>
  <c r="AP138" i="10"/>
  <c r="AP137" i="10"/>
  <c r="AP136" i="10"/>
  <c r="AP135" i="10"/>
  <c r="AP134" i="10"/>
  <c r="AP133" i="10"/>
  <c r="AP132" i="10"/>
  <c r="AP131" i="10"/>
  <c r="AP130" i="10"/>
  <c r="AP129" i="10"/>
  <c r="AP128" i="10"/>
  <c r="AP127" i="10"/>
  <c r="AP126" i="10"/>
  <c r="AP124" i="10"/>
  <c r="AP122" i="10"/>
  <c r="AP121" i="10"/>
  <c r="AP120" i="10"/>
  <c r="AP119" i="10"/>
  <c r="AP117" i="10"/>
  <c r="AP113" i="10"/>
  <c r="AP112" i="10"/>
  <c r="AP111" i="10"/>
  <c r="AP110" i="10"/>
  <c r="AP109" i="10"/>
  <c r="AP108" i="10"/>
  <c r="AP107" i="10"/>
  <c r="AP106" i="10"/>
  <c r="AP105" i="10"/>
  <c r="AP104" i="10"/>
  <c r="AP103" i="10"/>
  <c r="AP102" i="10"/>
  <c r="AP101" i="10"/>
  <c r="AP100" i="10"/>
  <c r="AP99" i="10"/>
  <c r="AP98" i="10"/>
  <c r="AP97" i="10"/>
  <c r="AP95" i="10"/>
  <c r="AP94" i="10"/>
  <c r="AP93" i="10"/>
  <c r="AP92" i="10"/>
  <c r="AP88" i="10"/>
  <c r="AP87" i="10"/>
  <c r="AP85" i="10"/>
  <c r="AP84" i="10"/>
  <c r="AP83" i="10"/>
  <c r="AP82" i="10"/>
  <c r="AP81" i="10"/>
  <c r="AP80" i="10"/>
  <c r="AP79" i="10"/>
  <c r="AP78" i="10"/>
  <c r="AP77" i="10"/>
  <c r="AP76" i="10"/>
  <c r="AP75" i="10"/>
  <c r="AP74" i="10"/>
  <c r="AP73" i="10"/>
  <c r="AP72" i="10"/>
  <c r="AP71" i="10"/>
  <c r="AP70" i="10"/>
  <c r="AP68" i="10"/>
  <c r="AP64" i="10"/>
  <c r="AP63" i="10"/>
  <c r="AP62" i="10"/>
  <c r="AP61" i="10"/>
  <c r="AP60" i="10"/>
  <c r="AP59" i="10"/>
  <c r="AP58" i="10"/>
  <c r="AP57" i="10"/>
  <c r="AP56" i="10"/>
  <c r="AP55" i="10"/>
  <c r="AP54" i="10"/>
  <c r="AP53" i="10"/>
  <c r="AP52" i="10"/>
  <c r="AP51" i="10"/>
  <c r="AP50" i="10"/>
  <c r="AP49" i="10"/>
  <c r="AP48" i="10"/>
  <c r="AP47" i="10"/>
  <c r="AP46" i="10"/>
  <c r="AP45" i="10"/>
  <c r="AP44" i="10"/>
  <c r="AP43" i="10"/>
  <c r="AP42" i="10"/>
  <c r="AP41" i="10"/>
  <c r="AP40" i="10"/>
  <c r="AP39" i="10"/>
  <c r="AP38" i="10"/>
  <c r="AP37" i="10"/>
  <c r="AP36" i="10"/>
  <c r="AP35" i="10"/>
  <c r="AP34" i="10"/>
  <c r="AP33" i="10"/>
  <c r="AP32" i="10"/>
  <c r="AP31" i="10"/>
  <c r="AP30" i="10"/>
  <c r="AP29" i="10"/>
  <c r="AP28" i="10"/>
  <c r="AP27" i="10"/>
  <c r="AP26" i="10"/>
  <c r="AP24" i="10"/>
  <c r="AP19" i="10"/>
  <c r="AP18" i="10"/>
  <c r="AP17" i="10"/>
  <c r="AP16" i="10"/>
  <c r="AP15" i="10"/>
  <c r="AP14" i="10"/>
  <c r="AP13" i="10"/>
  <c r="AP12" i="10"/>
  <c r="AP11" i="10"/>
  <c r="AP10" i="10"/>
  <c r="AP9" i="10"/>
  <c r="AP8" i="10"/>
  <c r="AP7" i="10"/>
  <c r="AP6" i="10"/>
  <c r="AP5" i="10"/>
  <c r="AC142" i="10"/>
  <c r="AC141" i="10"/>
  <c r="AC140" i="10"/>
  <c r="AC139" i="10"/>
  <c r="AC138" i="10"/>
  <c r="AC137" i="10"/>
  <c r="AC136" i="10"/>
  <c r="AC135" i="10"/>
  <c r="AC134" i="10"/>
  <c r="AC133" i="10"/>
  <c r="AC132" i="10"/>
  <c r="AC131" i="10"/>
  <c r="AC130" i="10"/>
  <c r="AC129" i="10"/>
  <c r="AC128" i="10"/>
  <c r="AC127" i="10"/>
  <c r="AC126" i="10"/>
  <c r="AC124" i="10"/>
  <c r="AC122" i="10"/>
  <c r="AC121" i="10"/>
  <c r="AC120" i="10"/>
  <c r="AC119" i="10"/>
  <c r="AC117" i="10"/>
  <c r="AC113" i="10"/>
  <c r="AC112" i="10"/>
  <c r="AC111" i="10"/>
  <c r="AC110" i="10"/>
  <c r="AC109" i="10"/>
  <c r="AC108" i="10"/>
  <c r="AC107" i="10"/>
  <c r="AC106" i="10"/>
  <c r="AC105" i="10"/>
  <c r="AC104" i="10"/>
  <c r="AC103" i="10"/>
  <c r="AC102" i="10"/>
  <c r="AC101" i="10"/>
  <c r="AC100" i="10"/>
  <c r="AC99" i="10"/>
  <c r="AC98" i="10"/>
  <c r="AC97" i="10"/>
  <c r="AC95" i="10"/>
  <c r="AC94" i="10"/>
  <c r="AC93" i="10"/>
  <c r="AC92" i="10"/>
  <c r="AC90" i="10"/>
  <c r="AC88" i="10"/>
  <c r="AC87" i="10"/>
  <c r="AC85" i="10"/>
  <c r="AC84" i="10"/>
  <c r="AC83" i="10"/>
  <c r="AC82" i="10"/>
  <c r="AC81" i="10"/>
  <c r="AC80" i="10"/>
  <c r="AC79" i="10"/>
  <c r="AC78" i="10"/>
  <c r="AC77" i="10"/>
  <c r="AC76" i="10"/>
  <c r="AC75" i="10"/>
  <c r="AC74" i="10"/>
  <c r="AC73" i="10"/>
  <c r="AC72" i="10"/>
  <c r="AC71" i="10"/>
  <c r="AC70" i="10"/>
  <c r="AC68" i="10"/>
  <c r="AC64" i="10"/>
  <c r="AC63" i="10"/>
  <c r="AC62" i="10"/>
  <c r="AC61" i="10"/>
  <c r="AC60" i="10"/>
  <c r="AC59" i="10"/>
  <c r="AC58" i="10"/>
  <c r="AC57" i="10"/>
  <c r="AC56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4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AC5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4" i="10"/>
  <c r="P122" i="10"/>
  <c r="P121" i="10"/>
  <c r="P120" i="10"/>
  <c r="P119" i="10"/>
  <c r="P117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5" i="10"/>
  <c r="P93" i="10"/>
  <c r="P92" i="10"/>
  <c r="P90" i="10"/>
  <c r="P87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8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4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AQ38" i="12" l="1"/>
  <c r="BE38" i="12" s="1"/>
  <c r="AQ6" i="13"/>
  <c r="AR6" i="13" s="1"/>
  <c r="AQ8" i="13"/>
  <c r="AR8" i="13" s="1"/>
  <c r="AQ10" i="13"/>
  <c r="AR10" i="13" s="1"/>
  <c r="AQ12" i="13"/>
  <c r="AR12" i="13" s="1"/>
  <c r="AQ14" i="13"/>
  <c r="AR14" i="13" s="1"/>
  <c r="AQ16" i="13"/>
  <c r="AR16" i="13" s="1"/>
  <c r="AQ18" i="13"/>
  <c r="AR18" i="13" s="1"/>
  <c r="AQ20" i="13"/>
  <c r="AR20" i="13" s="1"/>
  <c r="AQ22" i="13"/>
  <c r="AR22" i="13" s="1"/>
  <c r="AQ24" i="13"/>
  <c r="AR24" i="13" s="1"/>
  <c r="AQ26" i="13"/>
  <c r="AR26" i="13" s="1"/>
  <c r="AQ28" i="13"/>
  <c r="AR28" i="13" s="1"/>
  <c r="AQ30" i="13"/>
  <c r="AR30" i="13" s="1"/>
  <c r="AQ32" i="13"/>
  <c r="AR32" i="13" s="1"/>
  <c r="AQ36" i="13"/>
  <c r="AR36" i="13" s="1"/>
  <c r="AQ38" i="13"/>
  <c r="AR38" i="13" s="1"/>
  <c r="OZ42" i="2"/>
  <c r="ON47" i="2"/>
  <c r="OZ47" i="2" s="1"/>
  <c r="OZ48" i="2" s="1"/>
  <c r="AY148" i="10"/>
  <c r="BF148" i="10"/>
  <c r="BL148" i="10"/>
  <c r="BS148" i="10"/>
  <c r="CG148" i="10"/>
  <c r="CT148" i="10"/>
  <c r="DG148" i="10"/>
  <c r="DU148" i="10"/>
  <c r="EA148" i="10"/>
  <c r="EH148" i="10"/>
  <c r="AQ7" i="12"/>
  <c r="AQ9" i="12"/>
  <c r="AQ11" i="12"/>
  <c r="AQ13" i="12"/>
  <c r="AQ15" i="12"/>
  <c r="BE15" i="12" s="1"/>
  <c r="AQ17" i="12"/>
  <c r="BE17" i="12" s="1"/>
  <c r="AQ19" i="12"/>
  <c r="AQ21" i="12"/>
  <c r="AQ23" i="12"/>
  <c r="AQ25" i="12"/>
  <c r="AQ27" i="12"/>
  <c r="BE27" i="12" s="1"/>
  <c r="AQ29" i="12"/>
  <c r="BE29" i="12" s="1"/>
  <c r="AQ31" i="12"/>
  <c r="AQ33" i="12"/>
  <c r="AQ35" i="12"/>
  <c r="AQ37" i="12"/>
  <c r="BE37" i="12" s="1"/>
  <c r="AQ39" i="12"/>
  <c r="BE39" i="12" s="1"/>
  <c r="AQ7" i="13"/>
  <c r="AR7" i="13" s="1"/>
  <c r="AQ9" i="13"/>
  <c r="AR9" i="13" s="1"/>
  <c r="AQ11" i="13"/>
  <c r="AR11" i="13" s="1"/>
  <c r="AQ13" i="13"/>
  <c r="AR13" i="13" s="1"/>
  <c r="AQ15" i="13"/>
  <c r="AR15" i="13" s="1"/>
  <c r="AQ17" i="13"/>
  <c r="AR17" i="13" s="1"/>
  <c r="AQ19" i="13"/>
  <c r="AR19" i="13" s="1"/>
  <c r="AQ21" i="13"/>
  <c r="AR21" i="13" s="1"/>
  <c r="AQ23" i="13"/>
  <c r="AR23" i="13" s="1"/>
  <c r="AQ25" i="13"/>
  <c r="AR25" i="13" s="1"/>
  <c r="AQ27" i="13"/>
  <c r="AR27" i="13" s="1"/>
  <c r="AQ29" i="13"/>
  <c r="AR29" i="13" s="1"/>
  <c r="AQ31" i="13"/>
  <c r="AR31" i="13" s="1"/>
  <c r="AQ33" i="13"/>
  <c r="AR33" i="13" s="1"/>
  <c r="AQ35" i="13"/>
  <c r="AR35" i="13" s="1"/>
  <c r="AQ37" i="13"/>
  <c r="AR37" i="13" s="1"/>
  <c r="AQ7" i="14"/>
  <c r="AR7" i="14" s="1"/>
  <c r="AQ9" i="14"/>
  <c r="AR9" i="14" s="1"/>
  <c r="AQ11" i="14"/>
  <c r="AR11" i="14" s="1"/>
  <c r="AQ13" i="14"/>
  <c r="AR13" i="14" s="1"/>
  <c r="AQ15" i="14"/>
  <c r="AR15" i="14" s="1"/>
  <c r="AQ17" i="14"/>
  <c r="AR17" i="14" s="1"/>
  <c r="AQ19" i="14"/>
  <c r="AR19" i="14" s="1"/>
  <c r="AQ21" i="14"/>
  <c r="AR21" i="14" s="1"/>
  <c r="AQ23" i="14"/>
  <c r="AR23" i="14" s="1"/>
  <c r="AQ25" i="14"/>
  <c r="AR25" i="14" s="1"/>
  <c r="AQ27" i="14"/>
  <c r="AR27" i="14" s="1"/>
  <c r="AQ29" i="14"/>
  <c r="AR29" i="14" s="1"/>
  <c r="AQ31" i="14"/>
  <c r="AR31" i="14" s="1"/>
  <c r="AQ33" i="14"/>
  <c r="AR33" i="14" s="1"/>
  <c r="AQ35" i="14"/>
  <c r="AR35" i="14" s="1"/>
  <c r="AQ37" i="14"/>
  <c r="AR37" i="14" s="1"/>
  <c r="AQ6" i="14"/>
  <c r="AR6" i="14" s="1"/>
  <c r="AQ8" i="14"/>
  <c r="AR8" i="14" s="1"/>
  <c r="AQ10" i="14"/>
  <c r="AR10" i="14" s="1"/>
  <c r="AQ12" i="14"/>
  <c r="AR12" i="14" s="1"/>
  <c r="AQ14" i="14"/>
  <c r="AR14" i="14" s="1"/>
  <c r="AQ16" i="14"/>
  <c r="AR16" i="14" s="1"/>
  <c r="AQ18" i="14"/>
  <c r="AR18" i="14" s="1"/>
  <c r="AQ20" i="14"/>
  <c r="AR20" i="14" s="1"/>
  <c r="AQ22" i="14"/>
  <c r="AR22" i="14" s="1"/>
  <c r="AQ24" i="14"/>
  <c r="AR24" i="14" s="1"/>
  <c r="AQ26" i="14"/>
  <c r="AR26" i="14" s="1"/>
  <c r="AQ28" i="14"/>
  <c r="AR28" i="14" s="1"/>
  <c r="AQ30" i="14"/>
  <c r="AR30" i="14" s="1"/>
  <c r="AQ32" i="14"/>
  <c r="AR32" i="14" s="1"/>
  <c r="AQ36" i="14"/>
  <c r="AR36" i="14" s="1"/>
  <c r="AQ8" i="12"/>
  <c r="BE8" i="12" s="1"/>
  <c r="AQ10" i="12"/>
  <c r="BE10" i="12" s="1"/>
  <c r="AQ12" i="12"/>
  <c r="BE12" i="12" s="1"/>
  <c r="AQ14" i="12"/>
  <c r="BE14" i="12" s="1"/>
  <c r="AQ16" i="12"/>
  <c r="BE16" i="12" s="1"/>
  <c r="AQ18" i="12"/>
  <c r="BE18" i="12" s="1"/>
  <c r="AQ20" i="12"/>
  <c r="BE20" i="12" s="1"/>
  <c r="AQ22" i="12"/>
  <c r="BE22" i="12" s="1"/>
  <c r="AQ24" i="12"/>
  <c r="BE24" i="12" s="1"/>
  <c r="AQ26" i="12"/>
  <c r="BE26" i="12" s="1"/>
  <c r="AQ28" i="12"/>
  <c r="BE28" i="12" s="1"/>
  <c r="BE35" i="12"/>
  <c r="BK62" i="3"/>
  <c r="BK67" i="3" s="1"/>
  <c r="BL72" i="3" s="1"/>
  <c r="G67" i="3"/>
  <c r="G73" i="3" s="1"/>
  <c r="G40" i="3"/>
  <c r="L40" i="3"/>
  <c r="L43" i="3" s="1"/>
  <c r="L49" i="3" s="1"/>
  <c r="Q40" i="3"/>
  <c r="Q43" i="3" s="1"/>
  <c r="Q49" i="3" s="1"/>
  <c r="AC40" i="13"/>
  <c r="EU148" i="10"/>
  <c r="EW148" i="10"/>
  <c r="EY148" i="10"/>
  <c r="FC148" i="10"/>
  <c r="FE148" i="10"/>
  <c r="P25" i="10"/>
  <c r="AQ6" i="12"/>
  <c r="BE6" i="12" s="1"/>
  <c r="BE7" i="12"/>
  <c r="BE9" i="12"/>
  <c r="BE11" i="12"/>
  <c r="BE13" i="12"/>
  <c r="BE19" i="12"/>
  <c r="BE21" i="12"/>
  <c r="BE23" i="12"/>
  <c r="BE25" i="12"/>
  <c r="BE31" i="12"/>
  <c r="BE33" i="12"/>
  <c r="AQ36" i="12"/>
  <c r="BE36" i="12" s="1"/>
  <c r="AQ9" i="11"/>
  <c r="AR9" i="11" s="1"/>
  <c r="AQ11" i="11"/>
  <c r="AR11" i="11" s="1"/>
  <c r="AQ13" i="11"/>
  <c r="AR13" i="11" s="1"/>
  <c r="AQ15" i="11"/>
  <c r="AR15" i="11" s="1"/>
  <c r="AQ17" i="11"/>
  <c r="AR17" i="11" s="1"/>
  <c r="AQ19" i="11"/>
  <c r="AR19" i="11" s="1"/>
  <c r="AQ21" i="11"/>
  <c r="AR21" i="11" s="1"/>
  <c r="AQ23" i="11"/>
  <c r="AR23" i="11" s="1"/>
  <c r="AQ25" i="11"/>
  <c r="AR25" i="11" s="1"/>
  <c r="AQ27" i="11"/>
  <c r="AR27" i="11" s="1"/>
  <c r="AQ32" i="12"/>
  <c r="BE32" i="12" s="1"/>
  <c r="AP40" i="14"/>
  <c r="CM148" i="10"/>
  <c r="CI148" i="10"/>
  <c r="DW148" i="10"/>
  <c r="ER148" i="10"/>
  <c r="DE25" i="10"/>
  <c r="BQ96" i="10"/>
  <c r="CD96" i="10"/>
  <c r="DR96" i="10"/>
  <c r="EF96" i="10"/>
  <c r="ES96" i="10"/>
  <c r="FF96" i="10"/>
  <c r="BD125" i="10"/>
  <c r="CR125" i="10"/>
  <c r="DR125" i="10"/>
  <c r="EF125" i="10"/>
  <c r="ES125" i="10"/>
  <c r="FF125" i="10"/>
  <c r="BD147" i="10"/>
  <c r="BQ147" i="10"/>
  <c r="CD147" i="10"/>
  <c r="DR147" i="10"/>
  <c r="EF147" i="10"/>
  <c r="ES147" i="10"/>
  <c r="FH20" i="10"/>
  <c r="CR147" i="10"/>
  <c r="DE96" i="10"/>
  <c r="CR96" i="10"/>
  <c r="BQ91" i="10"/>
  <c r="EF91" i="10"/>
  <c r="FF91" i="10"/>
  <c r="CR91" i="10"/>
  <c r="BD25" i="10"/>
  <c r="CV148" i="10"/>
  <c r="DE147" i="10"/>
  <c r="DE125" i="10"/>
  <c r="DE91" i="10"/>
  <c r="AC40" i="14"/>
  <c r="P40" i="14"/>
  <c r="AP40" i="13"/>
  <c r="P40" i="12"/>
  <c r="AP40" i="12"/>
  <c r="AC40" i="12"/>
  <c r="DR91" i="10"/>
  <c r="E148" i="10"/>
  <c r="G148" i="10"/>
  <c r="I148" i="10"/>
  <c r="K148" i="10"/>
  <c r="M148" i="10"/>
  <c r="O148" i="10"/>
  <c r="R148" i="10"/>
  <c r="T148" i="10"/>
  <c r="V148" i="10"/>
  <c r="X148" i="10"/>
  <c r="Z148" i="10"/>
  <c r="AB148" i="10"/>
  <c r="AE148" i="10"/>
  <c r="AG148" i="10"/>
  <c r="AI148" i="10"/>
  <c r="AK148" i="10"/>
  <c r="AM148" i="10"/>
  <c r="AO148" i="10"/>
  <c r="AC69" i="10"/>
  <c r="P91" i="10"/>
  <c r="AP91" i="10"/>
  <c r="AD148" i="10"/>
  <c r="AH148" i="10"/>
  <c r="AL148" i="10"/>
  <c r="P118" i="10"/>
  <c r="BY148" i="10"/>
  <c r="AU148" i="10"/>
  <c r="BP148" i="10"/>
  <c r="CQ148" i="10"/>
  <c r="CZ148" i="10"/>
  <c r="DM148" i="10"/>
  <c r="EE148" i="10"/>
  <c r="EN148" i="10"/>
  <c r="FA148" i="10"/>
  <c r="BH148" i="10"/>
  <c r="FH114" i="10"/>
  <c r="CD125" i="10"/>
  <c r="BQ125" i="10"/>
  <c r="BD118" i="10"/>
  <c r="BQ118" i="10"/>
  <c r="CD118" i="10"/>
  <c r="CR118" i="10"/>
  <c r="DE118" i="10"/>
  <c r="DR118" i="10"/>
  <c r="EF118" i="10"/>
  <c r="ES118" i="10"/>
  <c r="FF118" i="10"/>
  <c r="BD96" i="10"/>
  <c r="BD91" i="10"/>
  <c r="AS148" i="10"/>
  <c r="AW148" i="10"/>
  <c r="AQ34" i="14"/>
  <c r="AR34" i="14" s="1"/>
  <c r="AQ31" i="11"/>
  <c r="AR31" i="11" s="1"/>
  <c r="AQ34" i="13"/>
  <c r="AR34" i="13" s="1"/>
  <c r="P40" i="13"/>
  <c r="AQ34" i="12"/>
  <c r="BE34" i="12" s="1"/>
  <c r="AQ30" i="12"/>
  <c r="BE30" i="12" s="1"/>
  <c r="AC40" i="11"/>
  <c r="AP40" i="11"/>
  <c r="AQ7" i="11"/>
  <c r="AR7" i="11" s="1"/>
  <c r="OZ40" i="2"/>
  <c r="BD40" i="12"/>
  <c r="AQ6" i="11"/>
  <c r="AR6" i="11" s="1"/>
  <c r="AQ14" i="11"/>
  <c r="AR14" i="11" s="1"/>
  <c r="AQ16" i="11"/>
  <c r="AR16" i="11" s="1"/>
  <c r="AQ24" i="11"/>
  <c r="AR24" i="11" s="1"/>
  <c r="AQ29" i="11"/>
  <c r="AR29" i="11" s="1"/>
  <c r="AQ39" i="11"/>
  <c r="AR39" i="11" s="1"/>
  <c r="AQ28" i="11"/>
  <c r="AR28" i="11" s="1"/>
  <c r="AQ30" i="11"/>
  <c r="AR30" i="11" s="1"/>
  <c r="AQ32" i="11"/>
  <c r="AR32" i="11" s="1"/>
  <c r="AQ34" i="11"/>
  <c r="AR34" i="11" s="1"/>
  <c r="AQ36" i="11"/>
  <c r="AR36" i="11" s="1"/>
  <c r="AQ38" i="11"/>
  <c r="AR38" i="11" s="1"/>
  <c r="AQ8" i="11"/>
  <c r="AR8" i="11" s="1"/>
  <c r="AQ10" i="11"/>
  <c r="AR10" i="11" s="1"/>
  <c r="AQ12" i="11"/>
  <c r="AR12" i="11" s="1"/>
  <c r="AQ18" i="11"/>
  <c r="AR18" i="11" s="1"/>
  <c r="AQ20" i="11"/>
  <c r="AR20" i="11" s="1"/>
  <c r="AQ22" i="11"/>
  <c r="AR22" i="11" s="1"/>
  <c r="AQ26" i="11"/>
  <c r="AR26" i="11" s="1"/>
  <c r="AQ33" i="11"/>
  <c r="AR33" i="11" s="1"/>
  <c r="AQ35" i="11"/>
  <c r="AR35" i="11" s="1"/>
  <c r="AQ37" i="11"/>
  <c r="AR37" i="11" s="1"/>
  <c r="P40" i="11"/>
  <c r="AF148" i="10"/>
  <c r="AJ148" i="10"/>
  <c r="AN148" i="10"/>
  <c r="AR148" i="10"/>
  <c r="AT148" i="10"/>
  <c r="AV148" i="10"/>
  <c r="AX148" i="10"/>
  <c r="AZ148" i="10"/>
  <c r="BB148" i="10"/>
  <c r="BG148" i="10"/>
  <c r="BI148" i="10"/>
  <c r="BK148" i="10"/>
  <c r="BM148" i="10"/>
  <c r="BO148" i="10"/>
  <c r="BR148" i="10"/>
  <c r="BT148" i="10"/>
  <c r="BV148" i="10"/>
  <c r="BX148" i="10"/>
  <c r="BZ148" i="10"/>
  <c r="CB148" i="10"/>
  <c r="CF148" i="10"/>
  <c r="CH148" i="10"/>
  <c r="CJ148" i="10"/>
  <c r="CL148" i="10"/>
  <c r="CN148" i="10"/>
  <c r="CP148" i="10"/>
  <c r="CU148" i="10"/>
  <c r="CW148" i="10"/>
  <c r="CY148" i="10"/>
  <c r="DA148" i="10"/>
  <c r="DC148" i="10"/>
  <c r="DF148" i="10"/>
  <c r="DH148" i="10"/>
  <c r="DJ148" i="10"/>
  <c r="DL148" i="10"/>
  <c r="DN148" i="10"/>
  <c r="DP148" i="10"/>
  <c r="DT148" i="10"/>
  <c r="DV148" i="10"/>
  <c r="DX148" i="10"/>
  <c r="DZ148" i="10"/>
  <c r="EB148" i="10"/>
  <c r="ED148" i="10"/>
  <c r="EI148" i="10"/>
  <c r="EK148" i="10"/>
  <c r="EM148" i="10"/>
  <c r="EO148" i="10"/>
  <c r="EQ148" i="10"/>
  <c r="ET148" i="10"/>
  <c r="EV148" i="10"/>
  <c r="EX148" i="10"/>
  <c r="EZ148" i="10"/>
  <c r="FB148" i="10"/>
  <c r="FD148" i="10"/>
  <c r="ES91" i="10"/>
  <c r="AP25" i="10"/>
  <c r="D148" i="10"/>
  <c r="H148" i="10"/>
  <c r="J148" i="10"/>
  <c r="L148" i="10"/>
  <c r="N148" i="10"/>
  <c r="S148" i="10"/>
  <c r="U148" i="10"/>
  <c r="W148" i="10"/>
  <c r="Y148" i="10"/>
  <c r="AA148" i="10"/>
  <c r="AC96" i="10"/>
  <c r="AP96" i="10"/>
  <c r="AC125" i="10"/>
  <c r="P147" i="10"/>
  <c r="AP147" i="10"/>
  <c r="BQ69" i="10"/>
  <c r="BE148" i="10"/>
  <c r="DE69" i="10"/>
  <c r="CS148" i="10"/>
  <c r="ES69" i="10"/>
  <c r="EG148" i="10"/>
  <c r="P125" i="10"/>
  <c r="CD91" i="10"/>
  <c r="FF147" i="10"/>
  <c r="AC25" i="10"/>
  <c r="P69" i="10"/>
  <c r="AP69" i="10"/>
  <c r="AC91" i="10"/>
  <c r="P96" i="10"/>
  <c r="AC118" i="10"/>
  <c r="AP118" i="10"/>
  <c r="AP125" i="10"/>
  <c r="AC147" i="10"/>
  <c r="F148" i="10"/>
  <c r="Q148" i="10"/>
  <c r="BQ25" i="10"/>
  <c r="CD25" i="10"/>
  <c r="CR25" i="10"/>
  <c r="DR25" i="10"/>
  <c r="EF25" i="10"/>
  <c r="ES25" i="10"/>
  <c r="FF25" i="10"/>
  <c r="EF69" i="10"/>
  <c r="FF69" i="10"/>
  <c r="CR69" i="10"/>
  <c r="DR69" i="10"/>
  <c r="BD69" i="10"/>
  <c r="CD69" i="10"/>
  <c r="AQ5" i="10"/>
  <c r="AQ7" i="10"/>
  <c r="CE51" i="10"/>
  <c r="CE53" i="10"/>
  <c r="CE55" i="10"/>
  <c r="CE57" i="10"/>
  <c r="CE59" i="10"/>
  <c r="CE61" i="10"/>
  <c r="CE63" i="10"/>
  <c r="CE68" i="10"/>
  <c r="CE70" i="10"/>
  <c r="CE72" i="10"/>
  <c r="CE74" i="10"/>
  <c r="DS5" i="10"/>
  <c r="DS7" i="10"/>
  <c r="DS9" i="10"/>
  <c r="DS11" i="10"/>
  <c r="DS13" i="10"/>
  <c r="DS15" i="10"/>
  <c r="DS17" i="10"/>
  <c r="DS19" i="10"/>
  <c r="DS27" i="10"/>
  <c r="DS29" i="10"/>
  <c r="DS31" i="10"/>
  <c r="DS33" i="10"/>
  <c r="DS35" i="10"/>
  <c r="DS37" i="10"/>
  <c r="DS39" i="10"/>
  <c r="DS41" i="10"/>
  <c r="DS43" i="10"/>
  <c r="DS45" i="10"/>
  <c r="DS47" i="10"/>
  <c r="DS49" i="10"/>
  <c r="DS51" i="10"/>
  <c r="DS53" i="10"/>
  <c r="DS55" i="10"/>
  <c r="DS57" i="10"/>
  <c r="DS59" i="10"/>
  <c r="DS61" i="10"/>
  <c r="DS63" i="10"/>
  <c r="DS68" i="10"/>
  <c r="DS70" i="10"/>
  <c r="DS72" i="10"/>
  <c r="DS74" i="10"/>
  <c r="CE143" i="10"/>
  <c r="FG143" i="10"/>
  <c r="AQ146" i="10"/>
  <c r="DS146" i="10"/>
  <c r="AQ9" i="10"/>
  <c r="AQ11" i="10"/>
  <c r="AQ13" i="10"/>
  <c r="AQ15" i="10"/>
  <c r="AQ17" i="10"/>
  <c r="AQ19" i="10"/>
  <c r="AQ27" i="10"/>
  <c r="AQ29" i="10"/>
  <c r="AQ31" i="10"/>
  <c r="AQ33" i="10"/>
  <c r="AQ35" i="10"/>
  <c r="AQ37" i="10"/>
  <c r="AQ39" i="10"/>
  <c r="AQ41" i="10"/>
  <c r="AQ43" i="10"/>
  <c r="AQ45" i="10"/>
  <c r="AQ47" i="10"/>
  <c r="AQ49" i="10"/>
  <c r="AQ51" i="10"/>
  <c r="AQ53" i="10"/>
  <c r="AQ55" i="10"/>
  <c r="AQ57" i="10"/>
  <c r="AQ59" i="10"/>
  <c r="AQ61" i="10"/>
  <c r="AQ63" i="10"/>
  <c r="AQ68" i="10"/>
  <c r="AQ70" i="10"/>
  <c r="AQ72" i="10"/>
  <c r="AQ74" i="10"/>
  <c r="CE6" i="10"/>
  <c r="CE8" i="10"/>
  <c r="CE10" i="10"/>
  <c r="CE12" i="10"/>
  <c r="CE14" i="10"/>
  <c r="CE16" i="10"/>
  <c r="CE18" i="10"/>
  <c r="CE24" i="10"/>
  <c r="CE26" i="10"/>
  <c r="CE28" i="10"/>
  <c r="CE30" i="10"/>
  <c r="CE32" i="10"/>
  <c r="CE34" i="10"/>
  <c r="CE36" i="10"/>
  <c r="CE38" i="10"/>
  <c r="CE40" i="10"/>
  <c r="CE42" i="10"/>
  <c r="CE44" i="10"/>
  <c r="CE46" i="10"/>
  <c r="CE48" i="10"/>
  <c r="FG5" i="10"/>
  <c r="FG7" i="10"/>
  <c r="FG9" i="10"/>
  <c r="FG11" i="10"/>
  <c r="FG13" i="10"/>
  <c r="FG15" i="10"/>
  <c r="FG17" i="10"/>
  <c r="FG19" i="10"/>
  <c r="FG27" i="10"/>
  <c r="FG29" i="10"/>
  <c r="FG31" i="10"/>
  <c r="FG33" i="10"/>
  <c r="FG35" i="10"/>
  <c r="FG37" i="10"/>
  <c r="FG39" i="10"/>
  <c r="FG41" i="10"/>
  <c r="FG43" i="10"/>
  <c r="FG45" i="10"/>
  <c r="FG47" i="10"/>
  <c r="FG49" i="10"/>
  <c r="FG51" i="10"/>
  <c r="FG53" i="10"/>
  <c r="FG55" i="10"/>
  <c r="FG57" i="10"/>
  <c r="FG59" i="10"/>
  <c r="FG61" i="10"/>
  <c r="FG63" i="10"/>
  <c r="FG68" i="10"/>
  <c r="FG70" i="10"/>
  <c r="FG72" i="10"/>
  <c r="FG74" i="10"/>
  <c r="AQ6" i="10"/>
  <c r="AQ8" i="10"/>
  <c r="AQ10" i="10"/>
  <c r="AQ12" i="10"/>
  <c r="AQ14" i="10"/>
  <c r="AQ16" i="10"/>
  <c r="AQ18" i="10"/>
  <c r="AQ24" i="10"/>
  <c r="AQ26" i="10"/>
  <c r="AQ28" i="10"/>
  <c r="AQ30" i="10"/>
  <c r="AQ32" i="10"/>
  <c r="AQ34" i="10"/>
  <c r="AQ36" i="10"/>
  <c r="AQ38" i="10"/>
  <c r="AQ40" i="10"/>
  <c r="AQ42" i="10"/>
  <c r="AQ44" i="10"/>
  <c r="AQ46" i="10"/>
  <c r="AQ48" i="10"/>
  <c r="AQ50" i="10"/>
  <c r="AQ52" i="10"/>
  <c r="AQ54" i="10"/>
  <c r="AQ56" i="10"/>
  <c r="AQ58" i="10"/>
  <c r="AQ60" i="10"/>
  <c r="AQ62" i="10"/>
  <c r="AQ64" i="10"/>
  <c r="AQ71" i="10"/>
  <c r="AQ73" i="10"/>
  <c r="AQ75" i="10"/>
  <c r="CE7" i="10"/>
  <c r="CE9" i="10"/>
  <c r="CE11" i="10"/>
  <c r="CE13" i="10"/>
  <c r="CE15" i="10"/>
  <c r="CE17" i="10"/>
  <c r="CE19" i="10"/>
  <c r="CE27" i="10"/>
  <c r="CE29" i="10"/>
  <c r="CE31" i="10"/>
  <c r="CE33" i="10"/>
  <c r="CE35" i="10"/>
  <c r="CE37" i="10"/>
  <c r="CE39" i="10"/>
  <c r="CE41" i="10"/>
  <c r="CE43" i="10"/>
  <c r="CE45" i="10"/>
  <c r="CE47" i="10"/>
  <c r="CE49" i="10"/>
  <c r="CE5" i="10"/>
  <c r="CE50" i="10"/>
  <c r="CE52" i="10"/>
  <c r="CE54" i="10"/>
  <c r="CE56" i="10"/>
  <c r="CE58" i="10"/>
  <c r="CE60" i="10"/>
  <c r="CE62" i="10"/>
  <c r="CE64" i="10"/>
  <c r="CE71" i="10"/>
  <c r="CE73" i="10"/>
  <c r="CE75" i="10"/>
  <c r="DS6" i="10"/>
  <c r="DS8" i="10"/>
  <c r="DS10" i="10"/>
  <c r="DS12" i="10"/>
  <c r="DS14" i="10"/>
  <c r="DS16" i="10"/>
  <c r="DS18" i="10"/>
  <c r="DS24" i="10"/>
  <c r="DS26" i="10"/>
  <c r="DS28" i="10"/>
  <c r="DS30" i="10"/>
  <c r="DS32" i="10"/>
  <c r="DS34" i="10"/>
  <c r="DS36" i="10"/>
  <c r="DS38" i="10"/>
  <c r="DS40" i="10"/>
  <c r="DS42" i="10"/>
  <c r="DS44" i="10"/>
  <c r="DS46" i="10"/>
  <c r="DS48" i="10"/>
  <c r="DS50" i="10"/>
  <c r="DS52" i="10"/>
  <c r="DS54" i="10"/>
  <c r="DS56" i="10"/>
  <c r="DS58" i="10"/>
  <c r="DS60" i="10"/>
  <c r="DS62" i="10"/>
  <c r="DS64" i="10"/>
  <c r="DS71" i="10"/>
  <c r="DS73" i="10"/>
  <c r="DS75" i="10"/>
  <c r="FG6" i="10"/>
  <c r="FG8" i="10"/>
  <c r="FG10" i="10"/>
  <c r="FG12" i="10"/>
  <c r="FG14" i="10"/>
  <c r="FG16" i="10"/>
  <c r="FG18" i="10"/>
  <c r="FG24" i="10"/>
  <c r="FG26" i="10"/>
  <c r="FG28" i="10"/>
  <c r="FG30" i="10"/>
  <c r="FG32" i="10"/>
  <c r="FG34" i="10"/>
  <c r="FG36" i="10"/>
  <c r="FG38" i="10"/>
  <c r="FG40" i="10"/>
  <c r="FG42" i="10"/>
  <c r="FG44" i="10"/>
  <c r="FG46" i="10"/>
  <c r="FG48" i="10"/>
  <c r="FG50" i="10"/>
  <c r="FG52" i="10"/>
  <c r="FG54" i="10"/>
  <c r="FG56" i="10"/>
  <c r="FG58" i="10"/>
  <c r="FG60" i="10"/>
  <c r="FG62" i="10"/>
  <c r="FG64" i="10"/>
  <c r="FG71" i="10"/>
  <c r="FG73" i="10"/>
  <c r="FG75" i="10"/>
  <c r="DS143" i="10"/>
  <c r="CE146" i="10"/>
  <c r="FG146" i="10"/>
  <c r="AQ78" i="10"/>
  <c r="AQ80" i="10"/>
  <c r="AQ82" i="10"/>
  <c r="AQ84" i="10"/>
  <c r="AQ87" i="10"/>
  <c r="AQ90" i="10"/>
  <c r="AQ92" i="10"/>
  <c r="AQ94" i="10"/>
  <c r="AQ98" i="10"/>
  <c r="AQ100" i="10"/>
  <c r="AQ102" i="10"/>
  <c r="AQ104" i="10"/>
  <c r="AQ106" i="10"/>
  <c r="AQ108" i="10"/>
  <c r="AQ110" i="10"/>
  <c r="AQ112" i="10"/>
  <c r="AQ117" i="10"/>
  <c r="AQ119" i="10"/>
  <c r="AQ121" i="10"/>
  <c r="AQ124" i="10"/>
  <c r="AQ126" i="10"/>
  <c r="AQ128" i="10"/>
  <c r="AQ130" i="10"/>
  <c r="AQ132" i="10"/>
  <c r="AQ134" i="10"/>
  <c r="AQ136" i="10"/>
  <c r="AQ138" i="10"/>
  <c r="AQ140" i="10"/>
  <c r="AQ142" i="10"/>
  <c r="AQ76" i="10"/>
  <c r="CE97" i="10"/>
  <c r="CE99" i="10"/>
  <c r="CE101" i="10"/>
  <c r="CE103" i="10"/>
  <c r="CE105" i="10"/>
  <c r="CE107" i="10"/>
  <c r="CE109" i="10"/>
  <c r="CE111" i="10"/>
  <c r="CE113" i="10"/>
  <c r="CE120" i="10"/>
  <c r="CE122" i="10"/>
  <c r="CE127" i="10"/>
  <c r="CE129" i="10"/>
  <c r="CE131" i="10"/>
  <c r="CE133" i="10"/>
  <c r="CE135" i="10"/>
  <c r="CE137" i="10"/>
  <c r="CE139" i="10"/>
  <c r="CE141" i="10"/>
  <c r="DS77" i="10"/>
  <c r="DS79" i="10"/>
  <c r="DS81" i="10"/>
  <c r="DS83" i="10"/>
  <c r="DS85" i="10"/>
  <c r="DS88" i="10"/>
  <c r="DS93" i="10"/>
  <c r="DS95" i="10"/>
  <c r="DS97" i="10"/>
  <c r="DS99" i="10"/>
  <c r="DS101" i="10"/>
  <c r="DS103" i="10"/>
  <c r="DS105" i="10"/>
  <c r="DS107" i="10"/>
  <c r="DS109" i="10"/>
  <c r="DS111" i="10"/>
  <c r="DS113" i="10"/>
  <c r="DS120" i="10"/>
  <c r="DS122" i="10"/>
  <c r="DS127" i="10"/>
  <c r="DS129" i="10"/>
  <c r="DS131" i="10"/>
  <c r="DS133" i="10"/>
  <c r="DS135" i="10"/>
  <c r="DS137" i="10"/>
  <c r="DS139" i="10"/>
  <c r="DS141" i="10"/>
  <c r="FG77" i="10"/>
  <c r="FG79" i="10"/>
  <c r="FG81" i="10"/>
  <c r="FG83" i="10"/>
  <c r="FG85" i="10"/>
  <c r="FG88" i="10"/>
  <c r="FG93" i="10"/>
  <c r="FG95" i="10"/>
  <c r="FG97" i="10"/>
  <c r="FG99" i="10"/>
  <c r="FG101" i="10"/>
  <c r="FG103" i="10"/>
  <c r="FG105" i="10"/>
  <c r="FG107" i="10"/>
  <c r="FG109" i="10"/>
  <c r="FG111" i="10"/>
  <c r="FG113" i="10"/>
  <c r="FG120" i="10"/>
  <c r="FG122" i="10"/>
  <c r="FG127" i="10"/>
  <c r="FG129" i="10"/>
  <c r="FG131" i="10"/>
  <c r="FG133" i="10"/>
  <c r="FG135" i="10"/>
  <c r="FG137" i="10"/>
  <c r="FG139" i="10"/>
  <c r="FG141" i="10"/>
  <c r="AQ77" i="10"/>
  <c r="AQ79" i="10"/>
  <c r="AQ81" i="10"/>
  <c r="AQ83" i="10"/>
  <c r="AQ85" i="10"/>
  <c r="AQ88" i="10"/>
  <c r="AQ93" i="10"/>
  <c r="AQ95" i="10"/>
  <c r="AQ97" i="10"/>
  <c r="AQ99" i="10"/>
  <c r="AQ101" i="10"/>
  <c r="AQ103" i="10"/>
  <c r="AQ105" i="10"/>
  <c r="AQ107" i="10"/>
  <c r="AQ109" i="10"/>
  <c r="AQ111" i="10"/>
  <c r="AQ113" i="10"/>
  <c r="AQ120" i="10"/>
  <c r="AQ122" i="10"/>
  <c r="AQ127" i="10"/>
  <c r="AQ129" i="10"/>
  <c r="AQ131" i="10"/>
  <c r="AQ133" i="10"/>
  <c r="AQ135" i="10"/>
  <c r="AQ137" i="10"/>
  <c r="AQ139" i="10"/>
  <c r="CE76" i="10"/>
  <c r="CE78" i="10"/>
  <c r="CE80" i="10"/>
  <c r="CE82" i="10"/>
  <c r="CE84" i="10"/>
  <c r="CE87" i="10"/>
  <c r="CE90" i="10"/>
  <c r="CE92" i="10"/>
  <c r="CE94" i="10"/>
  <c r="CE77" i="10"/>
  <c r="CE79" i="10"/>
  <c r="CE81" i="10"/>
  <c r="CE83" i="10"/>
  <c r="CE85" i="10"/>
  <c r="CE88" i="10"/>
  <c r="CE93" i="10"/>
  <c r="CE95" i="10"/>
  <c r="AQ141" i="10"/>
  <c r="CE98" i="10"/>
  <c r="CE100" i="10"/>
  <c r="CE102" i="10"/>
  <c r="CE104" i="10"/>
  <c r="CE106" i="10"/>
  <c r="CE108" i="10"/>
  <c r="CE110" i="10"/>
  <c r="CE112" i="10"/>
  <c r="CE117" i="10"/>
  <c r="CE119" i="10"/>
  <c r="CE121" i="10"/>
  <c r="CE124" i="10"/>
  <c r="CE126" i="10"/>
  <c r="CE128" i="10"/>
  <c r="CE130" i="10"/>
  <c r="CE132" i="10"/>
  <c r="CE134" i="10"/>
  <c r="CE136" i="10"/>
  <c r="CE138" i="10"/>
  <c r="CE140" i="10"/>
  <c r="CE142" i="10"/>
  <c r="DS76" i="10"/>
  <c r="DS78" i="10"/>
  <c r="DS80" i="10"/>
  <c r="DS82" i="10"/>
  <c r="DS84" i="10"/>
  <c r="DS87" i="10"/>
  <c r="DS90" i="10"/>
  <c r="DS92" i="10"/>
  <c r="DS94" i="10"/>
  <c r="DS98" i="10"/>
  <c r="DS100" i="10"/>
  <c r="DS102" i="10"/>
  <c r="DS104" i="10"/>
  <c r="DS106" i="10"/>
  <c r="DS108" i="10"/>
  <c r="DS110" i="10"/>
  <c r="DS112" i="10"/>
  <c r="DS117" i="10"/>
  <c r="DS119" i="10"/>
  <c r="DS121" i="10"/>
  <c r="DS124" i="10"/>
  <c r="DS126" i="10"/>
  <c r="DS128" i="10"/>
  <c r="DS130" i="10"/>
  <c r="DS132" i="10"/>
  <c r="DS134" i="10"/>
  <c r="DS136" i="10"/>
  <c r="DS138" i="10"/>
  <c r="DS140" i="10"/>
  <c r="DS142" i="10"/>
  <c r="FG76" i="10"/>
  <c r="FG78" i="10"/>
  <c r="FG80" i="10"/>
  <c r="FG82" i="10"/>
  <c r="FG84" i="10"/>
  <c r="FG87" i="10"/>
  <c r="FG90" i="10"/>
  <c r="FG92" i="10"/>
  <c r="FG94" i="10"/>
  <c r="FG98" i="10"/>
  <c r="FG100" i="10"/>
  <c r="FG102" i="10"/>
  <c r="FG104" i="10"/>
  <c r="FG106" i="10"/>
  <c r="FG108" i="10"/>
  <c r="FG110" i="10"/>
  <c r="FG112" i="10"/>
  <c r="FG117" i="10"/>
  <c r="FG119" i="10"/>
  <c r="FG121" i="10"/>
  <c r="FG124" i="10"/>
  <c r="FG126" i="10"/>
  <c r="FG128" i="10"/>
  <c r="FG130" i="10"/>
  <c r="FG132" i="10"/>
  <c r="FG134" i="10"/>
  <c r="FG136" i="10"/>
  <c r="FG138" i="10"/>
  <c r="FG140" i="10"/>
  <c r="FG142" i="10"/>
  <c r="AQ143" i="10"/>
  <c r="BK11" i="3"/>
  <c r="G10" i="3"/>
  <c r="BK10" i="3" s="1"/>
  <c r="HH6" i="4"/>
  <c r="BG67" i="3"/>
  <c r="AZ6" i="3"/>
  <c r="BK6" i="3" s="1"/>
  <c r="AZ4" i="3"/>
  <c r="AZ7" i="3"/>
  <c r="BK7" i="3" s="1"/>
  <c r="AZ8" i="3"/>
  <c r="AZ5" i="3"/>
  <c r="AZ23" i="3"/>
  <c r="BK23" i="3" s="1"/>
  <c r="XC40" i="5"/>
  <c r="XB40" i="5"/>
  <c r="XA40" i="5"/>
  <c r="WZ40" i="5"/>
  <c r="WY40" i="5"/>
  <c r="WX40" i="5"/>
  <c r="WW40" i="5"/>
  <c r="WV40" i="5"/>
  <c r="WU40" i="5"/>
  <c r="WT40" i="5"/>
  <c r="WS40" i="5"/>
  <c r="WR40" i="5"/>
  <c r="XD39" i="5"/>
  <c r="XD38" i="5"/>
  <c r="XD37" i="5"/>
  <c r="XD36" i="5"/>
  <c r="XD35" i="5"/>
  <c r="XD34" i="5"/>
  <c r="XD33" i="5"/>
  <c r="XD32" i="5"/>
  <c r="XD31" i="5"/>
  <c r="XD30" i="5"/>
  <c r="XD29" i="5"/>
  <c r="XD28" i="5"/>
  <c r="XD27" i="5"/>
  <c r="XD26" i="5"/>
  <c r="XD25" i="5"/>
  <c r="XD24" i="5"/>
  <c r="XD23" i="5"/>
  <c r="XD22" i="5"/>
  <c r="XD21" i="5"/>
  <c r="XD20" i="5"/>
  <c r="XD19" i="5"/>
  <c r="XD18" i="5"/>
  <c r="XD17" i="5"/>
  <c r="XD16" i="5"/>
  <c r="XD15" i="5"/>
  <c r="XD14" i="5"/>
  <c r="XD13" i="5"/>
  <c r="XD12" i="5"/>
  <c r="XD11" i="5"/>
  <c r="XD10" i="5"/>
  <c r="XD9" i="5"/>
  <c r="XD8" i="5"/>
  <c r="XD7" i="5"/>
  <c r="XD6" i="5"/>
  <c r="WP40" i="5"/>
  <c r="WO40" i="5"/>
  <c r="WN40" i="5"/>
  <c r="WM40" i="5"/>
  <c r="WL40" i="5"/>
  <c r="WK40" i="5"/>
  <c r="WJ40" i="5"/>
  <c r="WI40" i="5"/>
  <c r="WH40" i="5"/>
  <c r="WG40" i="5"/>
  <c r="WF40" i="5"/>
  <c r="WE40" i="5"/>
  <c r="WQ39" i="5"/>
  <c r="WQ38" i="5"/>
  <c r="WQ37" i="5"/>
  <c r="WQ36" i="5"/>
  <c r="WQ35" i="5"/>
  <c r="WQ34" i="5"/>
  <c r="WQ33" i="5"/>
  <c r="WQ32" i="5"/>
  <c r="WQ31" i="5"/>
  <c r="WQ30" i="5"/>
  <c r="WQ29" i="5"/>
  <c r="WQ28" i="5"/>
  <c r="WQ27" i="5"/>
  <c r="WQ26" i="5"/>
  <c r="WQ25" i="5"/>
  <c r="WQ24" i="5"/>
  <c r="WQ23" i="5"/>
  <c r="WQ22" i="5"/>
  <c r="WQ21" i="5"/>
  <c r="WQ20" i="5"/>
  <c r="WQ19" i="5"/>
  <c r="WQ18" i="5"/>
  <c r="WQ17" i="5"/>
  <c r="WQ16" i="5"/>
  <c r="WQ15" i="5"/>
  <c r="WQ14" i="5"/>
  <c r="WQ13" i="5"/>
  <c r="WQ12" i="5"/>
  <c r="WQ11" i="5"/>
  <c r="WQ10" i="5"/>
  <c r="WQ9" i="5"/>
  <c r="WQ8" i="5"/>
  <c r="WQ7" i="5"/>
  <c r="WQ6" i="5"/>
  <c r="BK73" i="3" l="1"/>
  <c r="AZ43" i="3"/>
  <c r="AZ49" i="3" s="1"/>
  <c r="G5" i="3"/>
  <c r="BK40" i="3"/>
  <c r="AQ40" i="14"/>
  <c r="AR40" i="14" s="1"/>
  <c r="CE96" i="10"/>
  <c r="CE125" i="10"/>
  <c r="CE147" i="10"/>
  <c r="FG147" i="10"/>
  <c r="DS125" i="10"/>
  <c r="FG125" i="10"/>
  <c r="FG96" i="10"/>
  <c r="DS147" i="10"/>
  <c r="DS96" i="10"/>
  <c r="CE91" i="10"/>
  <c r="FG91" i="10"/>
  <c r="DS91" i="10"/>
  <c r="AQ40" i="12"/>
  <c r="BE40" i="12" s="1"/>
  <c r="AQ40" i="13"/>
  <c r="AR40" i="13" s="1"/>
  <c r="AQ91" i="10"/>
  <c r="BQ148" i="10"/>
  <c r="FG118" i="10"/>
  <c r="CE118" i="10"/>
  <c r="AQ25" i="10"/>
  <c r="DS118" i="10"/>
  <c r="BD148" i="10"/>
  <c r="XD40" i="5"/>
  <c r="WQ40" i="5"/>
  <c r="AQ40" i="11"/>
  <c r="AR40" i="11" s="1"/>
  <c r="FH113" i="10"/>
  <c r="FH109" i="10"/>
  <c r="FH105" i="10"/>
  <c r="FH97" i="10"/>
  <c r="FH101" i="10"/>
  <c r="DS25" i="10"/>
  <c r="ES148" i="10"/>
  <c r="EF148" i="10"/>
  <c r="FG25" i="10"/>
  <c r="CR148" i="10"/>
  <c r="CE25" i="10"/>
  <c r="AQ147" i="10"/>
  <c r="AQ118" i="10"/>
  <c r="AQ96" i="10"/>
  <c r="DE148" i="10"/>
  <c r="DR148" i="10"/>
  <c r="AP148" i="10"/>
  <c r="FH93" i="10"/>
  <c r="FH139" i="10"/>
  <c r="FH135" i="10"/>
  <c r="FH131" i="10"/>
  <c r="FH127" i="10"/>
  <c r="AC148" i="10"/>
  <c r="P148" i="10"/>
  <c r="AQ125" i="10"/>
  <c r="FH88" i="10"/>
  <c r="FH83" i="10"/>
  <c r="FH79" i="10"/>
  <c r="FH137" i="10"/>
  <c r="FH133" i="10"/>
  <c r="FH129" i="10"/>
  <c r="FH122" i="10"/>
  <c r="FH111" i="10"/>
  <c r="FH107" i="10"/>
  <c r="FH103" i="10"/>
  <c r="FH99" i="10"/>
  <c r="AQ69" i="10"/>
  <c r="CD148" i="10"/>
  <c r="FF148" i="10"/>
  <c r="FG69" i="10"/>
  <c r="DS69" i="10"/>
  <c r="CE69" i="10"/>
  <c r="FH120" i="10"/>
  <c r="FH143" i="10"/>
  <c r="FH5" i="10"/>
  <c r="FH72" i="10"/>
  <c r="FH68" i="10"/>
  <c r="FH61" i="10"/>
  <c r="FH57" i="10"/>
  <c r="FH53" i="10"/>
  <c r="FH51" i="10"/>
  <c r="FH74" i="10"/>
  <c r="FH70" i="10"/>
  <c r="FH63" i="10"/>
  <c r="FH59" i="10"/>
  <c r="FH55" i="10"/>
  <c r="FH73" i="10"/>
  <c r="FH54" i="10"/>
  <c r="FH17" i="10"/>
  <c r="FH18" i="10"/>
  <c r="FH38" i="10"/>
  <c r="FH62" i="10"/>
  <c r="FH37" i="10"/>
  <c r="FH45" i="10"/>
  <c r="FH29" i="10"/>
  <c r="FH9" i="10"/>
  <c r="FH46" i="10"/>
  <c r="FH30" i="10"/>
  <c r="FH10" i="10"/>
  <c r="FH42" i="10"/>
  <c r="FH34" i="10"/>
  <c r="FH26" i="10"/>
  <c r="FH14" i="10"/>
  <c r="FH6" i="10"/>
  <c r="FH58" i="10"/>
  <c r="FH50" i="10"/>
  <c r="FH49" i="10"/>
  <c r="FH41" i="10"/>
  <c r="FH33" i="10"/>
  <c r="FH13" i="10"/>
  <c r="FH141" i="10"/>
  <c r="FH146" i="10"/>
  <c r="FH48" i="10"/>
  <c r="FH44" i="10"/>
  <c r="FH40" i="10"/>
  <c r="FH36" i="10"/>
  <c r="FH32" i="10"/>
  <c r="FH28" i="10"/>
  <c r="FH24" i="10"/>
  <c r="FH16" i="10"/>
  <c r="FH12" i="10"/>
  <c r="FH8" i="10"/>
  <c r="FH75" i="10"/>
  <c r="FH71" i="10"/>
  <c r="FH64" i="10"/>
  <c r="FH60" i="10"/>
  <c r="FH56" i="10"/>
  <c r="FH52" i="10"/>
  <c r="FH47" i="10"/>
  <c r="FH43" i="10"/>
  <c r="FH39" i="10"/>
  <c r="FH35" i="10"/>
  <c r="FH31" i="10"/>
  <c r="FH27" i="10"/>
  <c r="FH19" i="10"/>
  <c r="FH15" i="10"/>
  <c r="FH11" i="10"/>
  <c r="FH7" i="10"/>
  <c r="FH81" i="10"/>
  <c r="FH95" i="10"/>
  <c r="FH85" i="10"/>
  <c r="FH77" i="10"/>
  <c r="FH142" i="10"/>
  <c r="FH138" i="10"/>
  <c r="FH134" i="10"/>
  <c r="FH130" i="10"/>
  <c r="FH126" i="10"/>
  <c r="FH121" i="10"/>
  <c r="FH117" i="10"/>
  <c r="FH110" i="10"/>
  <c r="FH106" i="10"/>
  <c r="FH102" i="10"/>
  <c r="FH98" i="10"/>
  <c r="FH94" i="10"/>
  <c r="FH90" i="10"/>
  <c r="FH84" i="10"/>
  <c r="FH80" i="10"/>
  <c r="FH76" i="10"/>
  <c r="FH140" i="10"/>
  <c r="FH136" i="10"/>
  <c r="FH132" i="10"/>
  <c r="FH128" i="10"/>
  <c r="FH124" i="10"/>
  <c r="FH119" i="10"/>
  <c r="FH112" i="10"/>
  <c r="FH108" i="10"/>
  <c r="FH104" i="10"/>
  <c r="FH100" i="10"/>
  <c r="FH92" i="10"/>
  <c r="FH87" i="10"/>
  <c r="FH82" i="10"/>
  <c r="FH78" i="10"/>
  <c r="WC40" i="5"/>
  <c r="WB40" i="5"/>
  <c r="WA40" i="5"/>
  <c r="VZ40" i="5"/>
  <c r="VY40" i="5"/>
  <c r="VX40" i="5"/>
  <c r="VW40" i="5"/>
  <c r="VV40" i="5"/>
  <c r="VU40" i="5"/>
  <c r="VT40" i="5"/>
  <c r="VS40" i="5"/>
  <c r="VR40" i="5"/>
  <c r="WD39" i="5"/>
  <c r="WD38" i="5"/>
  <c r="WD37" i="5"/>
  <c r="WD36" i="5"/>
  <c r="WD35" i="5"/>
  <c r="WD34" i="5"/>
  <c r="WD33" i="5"/>
  <c r="WD32" i="5"/>
  <c r="WD31" i="5"/>
  <c r="WD30" i="5"/>
  <c r="WD29" i="5"/>
  <c r="WD28" i="5"/>
  <c r="WD27" i="5"/>
  <c r="WD26" i="5"/>
  <c r="WD25" i="5"/>
  <c r="WD24" i="5"/>
  <c r="WD23" i="5"/>
  <c r="WD22" i="5"/>
  <c r="WD21" i="5"/>
  <c r="WD20" i="5"/>
  <c r="WD19" i="5"/>
  <c r="WD18" i="5"/>
  <c r="WD17" i="5"/>
  <c r="WD16" i="5"/>
  <c r="WD15" i="5"/>
  <c r="WD14" i="5"/>
  <c r="WD13" i="5"/>
  <c r="WD12" i="5"/>
  <c r="WD11" i="5"/>
  <c r="WD10" i="5"/>
  <c r="WD9" i="5"/>
  <c r="WD8" i="5"/>
  <c r="WD7" i="5"/>
  <c r="WD6" i="5"/>
  <c r="VP40" i="5"/>
  <c r="VO40" i="5"/>
  <c r="VN40" i="5"/>
  <c r="VM40" i="5"/>
  <c r="VL40" i="5"/>
  <c r="VK40" i="5"/>
  <c r="VJ40" i="5"/>
  <c r="VI40" i="5"/>
  <c r="VH40" i="5"/>
  <c r="VG40" i="5"/>
  <c r="VF40" i="5"/>
  <c r="VE40" i="5"/>
  <c r="VQ39" i="5"/>
  <c r="VQ38" i="5"/>
  <c r="VQ37" i="5"/>
  <c r="VQ36" i="5"/>
  <c r="VQ35" i="5"/>
  <c r="VQ34" i="5"/>
  <c r="VQ33" i="5"/>
  <c r="VQ32" i="5"/>
  <c r="VQ31" i="5"/>
  <c r="VQ30" i="5"/>
  <c r="VQ29" i="5"/>
  <c r="VQ28" i="5"/>
  <c r="VQ27" i="5"/>
  <c r="VQ26" i="5"/>
  <c r="VQ25" i="5"/>
  <c r="VQ24" i="5"/>
  <c r="VQ23" i="5"/>
  <c r="VQ22" i="5"/>
  <c r="VQ21" i="5"/>
  <c r="VQ20" i="5"/>
  <c r="VQ19" i="5"/>
  <c r="VQ18" i="5"/>
  <c r="VQ17" i="5"/>
  <c r="VQ16" i="5"/>
  <c r="VQ15" i="5"/>
  <c r="VQ14" i="5"/>
  <c r="VQ13" i="5"/>
  <c r="VQ12" i="5"/>
  <c r="VQ11" i="5"/>
  <c r="VQ10" i="5"/>
  <c r="VQ9" i="5"/>
  <c r="VQ8" i="5"/>
  <c r="VQ7" i="5"/>
  <c r="VQ6" i="5"/>
  <c r="PY40" i="6"/>
  <c r="PX40" i="6"/>
  <c r="PW40" i="6"/>
  <c r="PV40" i="6"/>
  <c r="PU40" i="6"/>
  <c r="PT40" i="6"/>
  <c r="PS40" i="6"/>
  <c r="PR40" i="6"/>
  <c r="PQ40" i="6"/>
  <c r="PP40" i="6"/>
  <c r="PO40" i="6"/>
  <c r="PN40" i="6"/>
  <c r="PZ39" i="6"/>
  <c r="PZ38" i="6"/>
  <c r="PZ37" i="6"/>
  <c r="PZ36" i="6"/>
  <c r="PZ35" i="6"/>
  <c r="PZ34" i="6"/>
  <c r="PZ33" i="6"/>
  <c r="PZ32" i="6"/>
  <c r="PZ31" i="6"/>
  <c r="PZ30" i="6"/>
  <c r="PZ29" i="6"/>
  <c r="PZ28" i="6"/>
  <c r="PZ27" i="6"/>
  <c r="PZ26" i="6"/>
  <c r="PZ25" i="6"/>
  <c r="PZ24" i="6"/>
  <c r="PZ23" i="6"/>
  <c r="PZ22" i="6"/>
  <c r="PZ21" i="6"/>
  <c r="PZ20" i="6"/>
  <c r="PZ19" i="6"/>
  <c r="PZ18" i="6"/>
  <c r="PZ17" i="6"/>
  <c r="PZ16" i="6"/>
  <c r="PZ15" i="6"/>
  <c r="PZ14" i="6"/>
  <c r="PZ13" i="6"/>
  <c r="PZ12" i="6"/>
  <c r="PZ11" i="6"/>
  <c r="PZ10" i="6"/>
  <c r="PZ9" i="6"/>
  <c r="PZ8" i="6"/>
  <c r="PZ7" i="6"/>
  <c r="PZ6" i="6"/>
  <c r="PL40" i="6"/>
  <c r="PK40" i="6"/>
  <c r="PJ40" i="6"/>
  <c r="PI40" i="6"/>
  <c r="PH40" i="6"/>
  <c r="PG40" i="6"/>
  <c r="PF40" i="6"/>
  <c r="PE40" i="6"/>
  <c r="PD40" i="6"/>
  <c r="PC40" i="6"/>
  <c r="PB40" i="6"/>
  <c r="PA40" i="6"/>
  <c r="PM39" i="6"/>
  <c r="PM38" i="6"/>
  <c r="PM37" i="6"/>
  <c r="PM36" i="6"/>
  <c r="PM35" i="6"/>
  <c r="PM34" i="6"/>
  <c r="PM33" i="6"/>
  <c r="PM32" i="6"/>
  <c r="PM31" i="6"/>
  <c r="PM30" i="6"/>
  <c r="PM29" i="6"/>
  <c r="PM28" i="6"/>
  <c r="PM27" i="6"/>
  <c r="PM26" i="6"/>
  <c r="PM25" i="6"/>
  <c r="PM24" i="6"/>
  <c r="PM23" i="6"/>
  <c r="PM22" i="6"/>
  <c r="PM21" i="6"/>
  <c r="PM20" i="6"/>
  <c r="PM19" i="6"/>
  <c r="PM18" i="6"/>
  <c r="PM17" i="6"/>
  <c r="PM16" i="6"/>
  <c r="PM15" i="6"/>
  <c r="PM14" i="6"/>
  <c r="PM13" i="6"/>
  <c r="PM12" i="6"/>
  <c r="PM11" i="6"/>
  <c r="PM10" i="6"/>
  <c r="PM9" i="6"/>
  <c r="PM8" i="6"/>
  <c r="PM7" i="6"/>
  <c r="PM6" i="6"/>
  <c r="FH96" i="10" l="1"/>
  <c r="BK5" i="3"/>
  <c r="FH125" i="10"/>
  <c r="FH147" i="10"/>
  <c r="FH91" i="10"/>
  <c r="FG148" i="10"/>
  <c r="FH118" i="10"/>
  <c r="CE148" i="10"/>
  <c r="FH25" i="10"/>
  <c r="PM40" i="6"/>
  <c r="FH69" i="10"/>
  <c r="DS148" i="10"/>
  <c r="AQ148" i="10"/>
  <c r="PZ40" i="6"/>
  <c r="WD40" i="5"/>
  <c r="VQ40" i="5"/>
  <c r="BI67" i="3"/>
  <c r="BH67" i="3"/>
  <c r="BF67" i="3"/>
  <c r="BD67" i="3"/>
  <c r="BC67" i="3"/>
  <c r="BB67" i="3"/>
  <c r="BA67" i="3"/>
  <c r="AY67" i="3"/>
  <c r="AX67" i="3"/>
  <c r="AW67" i="3"/>
  <c r="AV67" i="3"/>
  <c r="AO67" i="3"/>
  <c r="AN67" i="3"/>
  <c r="AM67" i="3"/>
  <c r="AL67" i="3"/>
  <c r="AJ67" i="3"/>
  <c r="AI67" i="3"/>
  <c r="AH67" i="3"/>
  <c r="AG67" i="3"/>
  <c r="AE67" i="3"/>
  <c r="AD67" i="3"/>
  <c r="AC67" i="3"/>
  <c r="AB67" i="3"/>
  <c r="Z67" i="3"/>
  <c r="Y67" i="3"/>
  <c r="U67" i="3"/>
  <c r="T67" i="3"/>
  <c r="S67" i="3"/>
  <c r="R67" i="3"/>
  <c r="P67" i="3"/>
  <c r="O67" i="3"/>
  <c r="N67" i="3"/>
  <c r="M67" i="3"/>
  <c r="K67" i="3"/>
  <c r="J67" i="3"/>
  <c r="I67" i="3"/>
  <c r="H67" i="3"/>
  <c r="F67" i="3"/>
  <c r="E67" i="3"/>
  <c r="D67" i="3"/>
  <c r="C67" i="3"/>
  <c r="X67" i="3"/>
  <c r="W67" i="3"/>
  <c r="AA8" i="3"/>
  <c r="BI43" i="3"/>
  <c r="BH43" i="3"/>
  <c r="BG43" i="3"/>
  <c r="BF43" i="3"/>
  <c r="BD43" i="3"/>
  <c r="BC43" i="3"/>
  <c r="BB43" i="3"/>
  <c r="BA43" i="3"/>
  <c r="AY43" i="3"/>
  <c r="AX43" i="3"/>
  <c r="AW43" i="3"/>
  <c r="AV43" i="3"/>
  <c r="AO43" i="3"/>
  <c r="AN43" i="3"/>
  <c r="AM43" i="3"/>
  <c r="AL43" i="3"/>
  <c r="AJ43" i="3"/>
  <c r="AI43" i="3"/>
  <c r="AH43" i="3"/>
  <c r="AG43" i="3"/>
  <c r="AE43" i="3"/>
  <c r="AD43" i="3"/>
  <c r="AC43" i="3"/>
  <c r="Z43" i="3"/>
  <c r="Y43" i="3"/>
  <c r="X43" i="3"/>
  <c r="U43" i="3"/>
  <c r="T43" i="3"/>
  <c r="S43" i="3"/>
  <c r="R43" i="3"/>
  <c r="P43" i="3"/>
  <c r="O43" i="3"/>
  <c r="N43" i="3"/>
  <c r="M43" i="3"/>
  <c r="K43" i="3"/>
  <c r="J43" i="3"/>
  <c r="I43" i="3"/>
  <c r="H43" i="3"/>
  <c r="AB43" i="3"/>
  <c r="AA43" i="3" l="1"/>
  <c r="AA49" i="3" s="1"/>
  <c r="BK8" i="3"/>
  <c r="W43" i="3"/>
  <c r="FH148" i="10"/>
  <c r="HG40" i="4"/>
  <c r="HF40" i="4"/>
  <c r="HE40" i="4"/>
  <c r="HD40" i="4"/>
  <c r="HC40" i="4"/>
  <c r="HB40" i="4"/>
  <c r="HA40" i="4"/>
  <c r="GZ40" i="4"/>
  <c r="GY40" i="4"/>
  <c r="GX40" i="4"/>
  <c r="GW40" i="4"/>
  <c r="GV40" i="4"/>
  <c r="HH39" i="4"/>
  <c r="HH38" i="4"/>
  <c r="HH37" i="4"/>
  <c r="HH36" i="4"/>
  <c r="HH35" i="4"/>
  <c r="HH34" i="4"/>
  <c r="HH33" i="4"/>
  <c r="HH32" i="4"/>
  <c r="HH30" i="4"/>
  <c r="HH29" i="4"/>
  <c r="HH28" i="4"/>
  <c r="HH27" i="4"/>
  <c r="HH26" i="4"/>
  <c r="HH25" i="4"/>
  <c r="HH24" i="4"/>
  <c r="HH23" i="4"/>
  <c r="HH22" i="4"/>
  <c r="HH21" i="4"/>
  <c r="HH20" i="4"/>
  <c r="HH19" i="4"/>
  <c r="HH18" i="4"/>
  <c r="HH17" i="4"/>
  <c r="HH16" i="4"/>
  <c r="HH15" i="4"/>
  <c r="HH14" i="4"/>
  <c r="HH13" i="4"/>
  <c r="HH12" i="4"/>
  <c r="HH11" i="4"/>
  <c r="HH10" i="4"/>
  <c r="HH9" i="4"/>
  <c r="HH8" i="4"/>
  <c r="VD6" i="5"/>
  <c r="XR6" i="5" s="1"/>
  <c r="VC40" i="5"/>
  <c r="VB40" i="5"/>
  <c r="VA40" i="5"/>
  <c r="UZ40" i="5"/>
  <c r="UY40" i="5"/>
  <c r="UX40" i="5"/>
  <c r="UW40" i="5"/>
  <c r="UV40" i="5"/>
  <c r="UU40" i="5"/>
  <c r="UT40" i="5"/>
  <c r="US40" i="5"/>
  <c r="UR40" i="5"/>
  <c r="VD39" i="5"/>
  <c r="XR39" i="5" s="1"/>
  <c r="VD38" i="5"/>
  <c r="XR38" i="5" s="1"/>
  <c r="VD37" i="5"/>
  <c r="XR37" i="5" s="1"/>
  <c r="VD36" i="5"/>
  <c r="XR36" i="5" s="1"/>
  <c r="VD35" i="5"/>
  <c r="XR35" i="5" s="1"/>
  <c r="VD34" i="5"/>
  <c r="XR34" i="5" s="1"/>
  <c r="VD33" i="5"/>
  <c r="XR33" i="5" s="1"/>
  <c r="VD32" i="5"/>
  <c r="XR32" i="5" s="1"/>
  <c r="VD31" i="5"/>
  <c r="XR31" i="5" s="1"/>
  <c r="VD30" i="5"/>
  <c r="XR30" i="5" s="1"/>
  <c r="VD29" i="5"/>
  <c r="XR29" i="5" s="1"/>
  <c r="VD28" i="5"/>
  <c r="XR28" i="5" s="1"/>
  <c r="VD27" i="5"/>
  <c r="XR27" i="5" s="1"/>
  <c r="VD26" i="5"/>
  <c r="XR26" i="5" s="1"/>
  <c r="VD25" i="5"/>
  <c r="XR25" i="5" s="1"/>
  <c r="VD24" i="5"/>
  <c r="XR24" i="5" s="1"/>
  <c r="VD23" i="5"/>
  <c r="XR23" i="5" s="1"/>
  <c r="VD22" i="5"/>
  <c r="XR22" i="5" s="1"/>
  <c r="VD21" i="5"/>
  <c r="XR21" i="5" s="1"/>
  <c r="VD20" i="5"/>
  <c r="XR20" i="5" s="1"/>
  <c r="VD19" i="5"/>
  <c r="XR19" i="5" s="1"/>
  <c r="VD18" i="5"/>
  <c r="XR18" i="5" s="1"/>
  <c r="VD17" i="5"/>
  <c r="XR17" i="5" s="1"/>
  <c r="VD16" i="5"/>
  <c r="XR16" i="5" s="1"/>
  <c r="VD15" i="5"/>
  <c r="XR15" i="5" s="1"/>
  <c r="VD14" i="5"/>
  <c r="XR14" i="5" s="1"/>
  <c r="VD13" i="5"/>
  <c r="XR13" i="5" s="1"/>
  <c r="VD12" i="5"/>
  <c r="XR12" i="5" s="1"/>
  <c r="VD11" i="5"/>
  <c r="XR11" i="5" s="1"/>
  <c r="VD10" i="5"/>
  <c r="XR10" i="5" s="1"/>
  <c r="VD9" i="5"/>
  <c r="XR9" i="5" s="1"/>
  <c r="VD8" i="5"/>
  <c r="XR8" i="5" s="1"/>
  <c r="VD7" i="5"/>
  <c r="XR7" i="5" s="1"/>
  <c r="OZ6" i="6"/>
  <c r="RA6" i="6" s="1"/>
  <c r="OY40" i="6"/>
  <c r="OX40" i="6"/>
  <c r="OW40" i="6"/>
  <c r="OV40" i="6"/>
  <c r="OU40" i="6"/>
  <c r="OT40" i="6"/>
  <c r="OS40" i="6"/>
  <c r="OR40" i="6"/>
  <c r="OQ40" i="6"/>
  <c r="OP40" i="6"/>
  <c r="OO40" i="6"/>
  <c r="ON40" i="6"/>
  <c r="OZ39" i="6"/>
  <c r="RA39" i="6" s="1"/>
  <c r="OZ38" i="6"/>
  <c r="RA38" i="6" s="1"/>
  <c r="OZ37" i="6"/>
  <c r="RA37" i="6" s="1"/>
  <c r="OZ36" i="6"/>
  <c r="RA36" i="6" s="1"/>
  <c r="OZ35" i="6"/>
  <c r="RA35" i="6" s="1"/>
  <c r="OZ34" i="6"/>
  <c r="RA34" i="6" s="1"/>
  <c r="OZ33" i="6"/>
  <c r="RA33" i="6" s="1"/>
  <c r="OZ32" i="6"/>
  <c r="RA32" i="6" s="1"/>
  <c r="OZ31" i="6"/>
  <c r="RA31" i="6" s="1"/>
  <c r="OZ30" i="6"/>
  <c r="RA30" i="6" s="1"/>
  <c r="OZ29" i="6"/>
  <c r="RA29" i="6" s="1"/>
  <c r="OZ28" i="6"/>
  <c r="RA28" i="6" s="1"/>
  <c r="OZ27" i="6"/>
  <c r="RA27" i="6" s="1"/>
  <c r="OZ26" i="6"/>
  <c r="RA26" i="6" s="1"/>
  <c r="OZ25" i="6"/>
  <c r="RA25" i="6" s="1"/>
  <c r="OZ24" i="6"/>
  <c r="RA24" i="6" s="1"/>
  <c r="OZ23" i="6"/>
  <c r="RA23" i="6" s="1"/>
  <c r="OZ22" i="6"/>
  <c r="RA22" i="6" s="1"/>
  <c r="OZ21" i="6"/>
  <c r="RA21" i="6" s="1"/>
  <c r="OZ20" i="6"/>
  <c r="RA20" i="6" s="1"/>
  <c r="OZ19" i="6"/>
  <c r="RA19" i="6" s="1"/>
  <c r="OZ18" i="6"/>
  <c r="RA18" i="6" s="1"/>
  <c r="OZ17" i="6"/>
  <c r="RA17" i="6" s="1"/>
  <c r="OZ16" i="6"/>
  <c r="RA16" i="6" s="1"/>
  <c r="OZ15" i="6"/>
  <c r="RA15" i="6" s="1"/>
  <c r="OZ14" i="6"/>
  <c r="RA14" i="6" s="1"/>
  <c r="OZ13" i="6"/>
  <c r="RA13" i="6" s="1"/>
  <c r="OZ12" i="6"/>
  <c r="RA12" i="6" s="1"/>
  <c r="OZ11" i="6"/>
  <c r="RA11" i="6" s="1"/>
  <c r="OZ10" i="6"/>
  <c r="RA10" i="6" s="1"/>
  <c r="OZ9" i="6"/>
  <c r="RA9" i="6" s="1"/>
  <c r="OZ8" i="6"/>
  <c r="RA8" i="6" s="1"/>
  <c r="OZ7" i="6"/>
  <c r="RA7" i="6" s="1"/>
  <c r="AJY40" i="9"/>
  <c r="AJX40" i="9"/>
  <c r="AJW40" i="9"/>
  <c r="AJV40" i="9"/>
  <c r="AJU40" i="9"/>
  <c r="AJT40" i="9"/>
  <c r="AJS40" i="9"/>
  <c r="AJR40" i="9"/>
  <c r="AJQ40" i="9"/>
  <c r="AJP40" i="9"/>
  <c r="AJO40" i="9"/>
  <c r="AJN40" i="9"/>
  <c r="AJL40" i="9"/>
  <c r="AJK40" i="9"/>
  <c r="AJJ40" i="9"/>
  <c r="AJI40" i="9"/>
  <c r="AJH40" i="9"/>
  <c r="AJG40" i="9"/>
  <c r="AJF40" i="9"/>
  <c r="AJE40" i="9"/>
  <c r="AJD40" i="9"/>
  <c r="AJC40" i="9"/>
  <c r="AJB40" i="9"/>
  <c r="AJA40" i="9"/>
  <c r="AIY40" i="9"/>
  <c r="AIX40" i="9"/>
  <c r="AIW40" i="9"/>
  <c r="AIV40" i="9"/>
  <c r="AIU40" i="9"/>
  <c r="AIT40" i="9"/>
  <c r="AIS40" i="9"/>
  <c r="AIR40" i="9"/>
  <c r="AIQ40" i="9"/>
  <c r="AIP40" i="9"/>
  <c r="AIO40" i="9"/>
  <c r="AIN40" i="9"/>
  <c r="AJZ39" i="9"/>
  <c r="AJM39" i="9"/>
  <c r="AIZ39" i="9"/>
  <c r="AJZ38" i="9"/>
  <c r="AJM38" i="9"/>
  <c r="AIZ38" i="9"/>
  <c r="AJZ37" i="9"/>
  <c r="AJM37" i="9"/>
  <c r="AIZ37" i="9"/>
  <c r="AJZ36" i="9"/>
  <c r="AJM36" i="9"/>
  <c r="AIZ36" i="9"/>
  <c r="AJZ35" i="9"/>
  <c r="AJM35" i="9"/>
  <c r="AIZ35" i="9"/>
  <c r="AJZ34" i="9"/>
  <c r="AJM34" i="9"/>
  <c r="AIZ34" i="9"/>
  <c r="AJZ33" i="9"/>
  <c r="AJM33" i="9"/>
  <c r="AIZ33" i="9"/>
  <c r="AJZ32" i="9"/>
  <c r="AJM32" i="9"/>
  <c r="AIZ32" i="9"/>
  <c r="AJZ31" i="9"/>
  <c r="AJM31" i="9"/>
  <c r="AIZ31" i="9"/>
  <c r="AJZ30" i="9"/>
  <c r="AJM30" i="9"/>
  <c r="AIZ30" i="9"/>
  <c r="AJZ29" i="9"/>
  <c r="AJM29" i="9"/>
  <c r="AIZ29" i="9"/>
  <c r="AJZ28" i="9"/>
  <c r="AJM28" i="9"/>
  <c r="AIZ28" i="9"/>
  <c r="AJZ27" i="9"/>
  <c r="AJM27" i="9"/>
  <c r="AIZ27" i="9"/>
  <c r="AJZ26" i="9"/>
  <c r="AJM26" i="9"/>
  <c r="AIZ26" i="9"/>
  <c r="AJZ25" i="9"/>
  <c r="AJM25" i="9"/>
  <c r="AIZ25" i="9"/>
  <c r="AJZ24" i="9"/>
  <c r="AJM24" i="9"/>
  <c r="AIZ24" i="9"/>
  <c r="AJZ23" i="9"/>
  <c r="AJM23" i="9"/>
  <c r="AIZ23" i="9"/>
  <c r="AJZ22" i="9"/>
  <c r="AJM22" i="9"/>
  <c r="AIZ22" i="9"/>
  <c r="AJZ21" i="9"/>
  <c r="AJM21" i="9"/>
  <c r="AIZ21" i="9"/>
  <c r="AJZ20" i="9"/>
  <c r="AJM20" i="9"/>
  <c r="AIZ20" i="9"/>
  <c r="AJZ19" i="9"/>
  <c r="AJM19" i="9"/>
  <c r="AIZ19" i="9"/>
  <c r="AJZ18" i="9"/>
  <c r="AJM18" i="9"/>
  <c r="AIZ18" i="9"/>
  <c r="AJZ17" i="9"/>
  <c r="AJM17" i="9"/>
  <c r="AIZ17" i="9"/>
  <c r="AJZ16" i="9"/>
  <c r="AJM16" i="9"/>
  <c r="AIZ16" i="9"/>
  <c r="AJZ15" i="9"/>
  <c r="AJM15" i="9"/>
  <c r="AIZ15" i="9"/>
  <c r="AJZ14" i="9"/>
  <c r="AJM14" i="9"/>
  <c r="AIZ14" i="9"/>
  <c r="AJZ13" i="9"/>
  <c r="AJM13" i="9"/>
  <c r="AIZ13" i="9"/>
  <c r="AJZ12" i="9"/>
  <c r="AJM12" i="9"/>
  <c r="AIZ12" i="9"/>
  <c r="AJZ11" i="9"/>
  <c r="AJM11" i="9"/>
  <c r="AIZ11" i="9"/>
  <c r="AJZ10" i="9"/>
  <c r="AJM10" i="9"/>
  <c r="AIZ10" i="9"/>
  <c r="AJZ9" i="9"/>
  <c r="AJM9" i="9"/>
  <c r="AIZ9" i="9"/>
  <c r="AJZ8" i="9"/>
  <c r="AJM8" i="9"/>
  <c r="AIZ8" i="9"/>
  <c r="AJZ7" i="9"/>
  <c r="AJM7" i="9"/>
  <c r="AIZ7" i="9"/>
  <c r="AJZ6" i="9"/>
  <c r="AJM6" i="9"/>
  <c r="AIZ6" i="9"/>
  <c r="AIK40" i="9"/>
  <c r="AIJ40" i="9"/>
  <c r="AII40" i="9"/>
  <c r="AIH40" i="9"/>
  <c r="AIG40" i="9"/>
  <c r="AIF40" i="9"/>
  <c r="AIE40" i="9"/>
  <c r="AID40" i="9"/>
  <c r="AIC40" i="9"/>
  <c r="AIB40" i="9"/>
  <c r="AIA40" i="9"/>
  <c r="AHZ40" i="9"/>
  <c r="AHX40" i="9"/>
  <c r="AHW40" i="9"/>
  <c r="AHV40" i="9"/>
  <c r="AHU40" i="9"/>
  <c r="AHT40" i="9"/>
  <c r="AHS40" i="9"/>
  <c r="AHR40" i="9"/>
  <c r="AHQ40" i="9"/>
  <c r="AHP40" i="9"/>
  <c r="AHO40" i="9"/>
  <c r="AHN40" i="9"/>
  <c r="AHM40" i="9"/>
  <c r="AHK40" i="9"/>
  <c r="AHJ40" i="9"/>
  <c r="AHI40" i="9"/>
  <c r="AHH40" i="9"/>
  <c r="AHG40" i="9"/>
  <c r="AHF40" i="9"/>
  <c r="AHE40" i="9"/>
  <c r="AHD40" i="9"/>
  <c r="AHC40" i="9"/>
  <c r="AHB40" i="9"/>
  <c r="AHA40" i="9"/>
  <c r="AGZ40" i="9"/>
  <c r="AIL39" i="9"/>
  <c r="AHY39" i="9"/>
  <c r="AHL39" i="9"/>
  <c r="AIL38" i="9"/>
  <c r="AHY38" i="9"/>
  <c r="AHL38" i="9"/>
  <c r="AIM38" i="9" s="1"/>
  <c r="AIL37" i="9"/>
  <c r="AHY37" i="9"/>
  <c r="AHL37" i="9"/>
  <c r="AIL36" i="9"/>
  <c r="AHY36" i="9"/>
  <c r="AHL36" i="9"/>
  <c r="AIM36" i="9" s="1"/>
  <c r="AIL35" i="9"/>
  <c r="AHY35" i="9"/>
  <c r="AHL35" i="9"/>
  <c r="AIL34" i="9"/>
  <c r="AHY34" i="9"/>
  <c r="AHL34" i="9"/>
  <c r="AIM34" i="9" s="1"/>
  <c r="AIL33" i="9"/>
  <c r="AHY33" i="9"/>
  <c r="AHL33" i="9"/>
  <c r="AIL32" i="9"/>
  <c r="AHY32" i="9"/>
  <c r="AHL32" i="9"/>
  <c r="AIM32" i="9" s="1"/>
  <c r="AIL31" i="9"/>
  <c r="AHY31" i="9"/>
  <c r="AHL31" i="9"/>
  <c r="AIL30" i="9"/>
  <c r="AHY30" i="9"/>
  <c r="AHL30" i="9"/>
  <c r="AIM30" i="9" s="1"/>
  <c r="AIL29" i="9"/>
  <c r="AHY29" i="9"/>
  <c r="AHL29" i="9"/>
  <c r="AIL28" i="9"/>
  <c r="AHY28" i="9"/>
  <c r="AHL28" i="9"/>
  <c r="AIM28" i="9" s="1"/>
  <c r="AIL27" i="9"/>
  <c r="AHY27" i="9"/>
  <c r="AHL27" i="9"/>
  <c r="AIL26" i="9"/>
  <c r="AHY26" i="9"/>
  <c r="AHL26" i="9"/>
  <c r="AIM26" i="9" s="1"/>
  <c r="AIL25" i="9"/>
  <c r="AHY25" i="9"/>
  <c r="AHL25" i="9"/>
  <c r="AIL24" i="9"/>
  <c r="AHY24" i="9"/>
  <c r="AHL24" i="9"/>
  <c r="AIM24" i="9" s="1"/>
  <c r="AIL23" i="9"/>
  <c r="AHY23" i="9"/>
  <c r="AHL23" i="9"/>
  <c r="AIL22" i="9"/>
  <c r="AHY22" i="9"/>
  <c r="AHL22" i="9"/>
  <c r="AIM22" i="9" s="1"/>
  <c r="AIL21" i="9"/>
  <c r="AHY21" i="9"/>
  <c r="AHL21" i="9"/>
  <c r="AIL20" i="9"/>
  <c r="AHY20" i="9"/>
  <c r="AHL20" i="9"/>
  <c r="AIM20" i="9" s="1"/>
  <c r="AIL19" i="9"/>
  <c r="AHY19" i="9"/>
  <c r="AHL19" i="9"/>
  <c r="AIL18" i="9"/>
  <c r="AHY18" i="9"/>
  <c r="AHL18" i="9"/>
  <c r="AIM18" i="9" s="1"/>
  <c r="AIL17" i="9"/>
  <c r="AHY17" i="9"/>
  <c r="AHL17" i="9"/>
  <c r="AIL16" i="9"/>
  <c r="AHY16" i="9"/>
  <c r="AHL16" i="9"/>
  <c r="AIM16" i="9" s="1"/>
  <c r="AIL15" i="9"/>
  <c r="AHY15" i="9"/>
  <c r="AHL15" i="9"/>
  <c r="AIL14" i="9"/>
  <c r="AHY14" i="9"/>
  <c r="AHL14" i="9"/>
  <c r="AIM14" i="9" s="1"/>
  <c r="AIL13" i="9"/>
  <c r="AHY13" i="9"/>
  <c r="AHL13" i="9"/>
  <c r="AIL12" i="9"/>
  <c r="AHY12" i="9"/>
  <c r="AHL12" i="9"/>
  <c r="AIM12" i="9" s="1"/>
  <c r="AIL11" i="9"/>
  <c r="AHY11" i="9"/>
  <c r="AHL11" i="9"/>
  <c r="AIL10" i="9"/>
  <c r="AHY10" i="9"/>
  <c r="AHL10" i="9"/>
  <c r="AIM10" i="9" s="1"/>
  <c r="AIL9" i="9"/>
  <c r="AHY9" i="9"/>
  <c r="AHL9" i="9"/>
  <c r="AIL8" i="9"/>
  <c r="AHY8" i="9"/>
  <c r="AHL8" i="9"/>
  <c r="AIM8" i="9" s="1"/>
  <c r="AIL7" i="9"/>
  <c r="AHY7" i="9"/>
  <c r="AHL7" i="9"/>
  <c r="AIL6" i="9"/>
  <c r="AHY6" i="9"/>
  <c r="AHL6" i="9"/>
  <c r="AIM6" i="9" s="1"/>
  <c r="AGW40" i="9"/>
  <c r="AGV40" i="9"/>
  <c r="AGU40" i="9"/>
  <c r="AGT40" i="9"/>
  <c r="AGS40" i="9"/>
  <c r="AGR40" i="9"/>
  <c r="AGQ40" i="9"/>
  <c r="AGP40" i="9"/>
  <c r="AGO40" i="9"/>
  <c r="AGN40" i="9"/>
  <c r="AGM40" i="9"/>
  <c r="AGL40" i="9"/>
  <c r="AGJ40" i="9"/>
  <c r="AGI40" i="9"/>
  <c r="AGH40" i="9"/>
  <c r="AGG40" i="9"/>
  <c r="AGF40" i="9"/>
  <c r="AGE40" i="9"/>
  <c r="AGD40" i="9"/>
  <c r="AGC40" i="9"/>
  <c r="AGB40" i="9"/>
  <c r="AGA40" i="9"/>
  <c r="AFZ40" i="9"/>
  <c r="AFY40" i="9"/>
  <c r="AFW40" i="9"/>
  <c r="AFV40" i="9"/>
  <c r="AFU40" i="9"/>
  <c r="AFT40" i="9"/>
  <c r="AFS40" i="9"/>
  <c r="AFR40" i="9"/>
  <c r="AFQ40" i="9"/>
  <c r="AFP40" i="9"/>
  <c r="AFO40" i="9"/>
  <c r="AFN40" i="9"/>
  <c r="AFM40" i="9"/>
  <c r="AFL40" i="9"/>
  <c r="AGX39" i="9"/>
  <c r="AGK39" i="9"/>
  <c r="AFX39" i="9"/>
  <c r="AGX38" i="9"/>
  <c r="AGK38" i="9"/>
  <c r="AFX38" i="9"/>
  <c r="AGY38" i="9" s="1"/>
  <c r="AGX37" i="9"/>
  <c r="AGK37" i="9"/>
  <c r="AFX37" i="9"/>
  <c r="AGX36" i="9"/>
  <c r="AGK36" i="9"/>
  <c r="AFX36" i="9"/>
  <c r="AGY36" i="9" s="1"/>
  <c r="AGX35" i="9"/>
  <c r="AGK35" i="9"/>
  <c r="AFX35" i="9"/>
  <c r="AGX34" i="9"/>
  <c r="AGK34" i="9"/>
  <c r="AFX34" i="9"/>
  <c r="AGY34" i="9" s="1"/>
  <c r="AGX33" i="9"/>
  <c r="AGK33" i="9"/>
  <c r="AFX33" i="9"/>
  <c r="AGX32" i="9"/>
  <c r="AGK32" i="9"/>
  <c r="AFX32" i="9"/>
  <c r="AGY32" i="9" s="1"/>
  <c r="AGX31" i="9"/>
  <c r="AGK31" i="9"/>
  <c r="AFX31" i="9"/>
  <c r="AGX30" i="9"/>
  <c r="AGK30" i="9"/>
  <c r="AFX30" i="9"/>
  <c r="AGY30" i="9" s="1"/>
  <c r="AGX29" i="9"/>
  <c r="AGK29" i="9"/>
  <c r="AFX29" i="9"/>
  <c r="AGX28" i="9"/>
  <c r="AGK28" i="9"/>
  <c r="AFX28" i="9"/>
  <c r="AGY28" i="9" s="1"/>
  <c r="AGX27" i="9"/>
  <c r="AGK27" i="9"/>
  <c r="AFX27" i="9"/>
  <c r="AGX26" i="9"/>
  <c r="AGK26" i="9"/>
  <c r="AFX26" i="9"/>
  <c r="AGY26" i="9" s="1"/>
  <c r="AGX25" i="9"/>
  <c r="AGK25" i="9"/>
  <c r="AFX25" i="9"/>
  <c r="AGX24" i="9"/>
  <c r="AGK24" i="9"/>
  <c r="AFX24" i="9"/>
  <c r="AGY24" i="9" s="1"/>
  <c r="AGX23" i="9"/>
  <c r="AGK23" i="9"/>
  <c r="AFX23" i="9"/>
  <c r="AGX22" i="9"/>
  <c r="AGK22" i="9"/>
  <c r="AFX22" i="9"/>
  <c r="AGY22" i="9" s="1"/>
  <c r="AGX21" i="9"/>
  <c r="AGK21" i="9"/>
  <c r="AFX21" i="9"/>
  <c r="AGX20" i="9"/>
  <c r="AGK20" i="9"/>
  <c r="AFX20" i="9"/>
  <c r="AGY20" i="9" s="1"/>
  <c r="AGX19" i="9"/>
  <c r="AGK19" i="9"/>
  <c r="AFX19" i="9"/>
  <c r="AGX18" i="9"/>
  <c r="AGK18" i="9"/>
  <c r="AFX18" i="9"/>
  <c r="AGX17" i="9"/>
  <c r="AGK17" i="9"/>
  <c r="AFX17" i="9"/>
  <c r="AGX16" i="9"/>
  <c r="AGK16" i="9"/>
  <c r="AFX16" i="9"/>
  <c r="AGY16" i="9" s="1"/>
  <c r="AGX15" i="9"/>
  <c r="AGK15" i="9"/>
  <c r="AFX15" i="9"/>
  <c r="AGX14" i="9"/>
  <c r="AGK14" i="9"/>
  <c r="AFX14" i="9"/>
  <c r="AGY14" i="9" s="1"/>
  <c r="AGX13" i="9"/>
  <c r="AGK13" i="9"/>
  <c r="AFX13" i="9"/>
  <c r="AGX12" i="9"/>
  <c r="AGK12" i="9"/>
  <c r="AFX12" i="9"/>
  <c r="AGY12" i="9" s="1"/>
  <c r="AGX11" i="9"/>
  <c r="AGK11" i="9"/>
  <c r="AFX11" i="9"/>
  <c r="AGX10" i="9"/>
  <c r="AGK10" i="9"/>
  <c r="AFX10" i="9"/>
  <c r="AGY10" i="9" s="1"/>
  <c r="AGX9" i="9"/>
  <c r="AGK9" i="9"/>
  <c r="AFX9" i="9"/>
  <c r="AGX8" i="9"/>
  <c r="AGK8" i="9"/>
  <c r="AFX8" i="9"/>
  <c r="AGY8" i="9" s="1"/>
  <c r="AGX7" i="9"/>
  <c r="AGK7" i="9"/>
  <c r="AFX7" i="9"/>
  <c r="AGX6" i="9"/>
  <c r="AGK6" i="9"/>
  <c r="AFX6" i="9"/>
  <c r="AGY6" i="9" s="1"/>
  <c r="AFI40" i="9"/>
  <c r="AFH40" i="9"/>
  <c r="AFG40" i="9"/>
  <c r="AFF40" i="9"/>
  <c r="AFE40" i="9"/>
  <c r="AFD40" i="9"/>
  <c r="AFC40" i="9"/>
  <c r="AFB40" i="9"/>
  <c r="AFA40" i="9"/>
  <c r="AEZ40" i="9"/>
  <c r="AEY40" i="9"/>
  <c r="AEX40" i="9"/>
  <c r="AEV40" i="9"/>
  <c r="AEU40" i="9"/>
  <c r="AET40" i="9"/>
  <c r="AES40" i="9"/>
  <c r="AER40" i="9"/>
  <c r="AEQ40" i="9"/>
  <c r="AEP40" i="9"/>
  <c r="AEO40" i="9"/>
  <c r="AEN40" i="9"/>
  <c r="AEM40" i="9"/>
  <c r="AEL40" i="9"/>
  <c r="AEK40" i="9"/>
  <c r="AEI40" i="9"/>
  <c r="AEH40" i="9"/>
  <c r="AEG40" i="9"/>
  <c r="AEF40" i="9"/>
  <c r="AEE40" i="9"/>
  <c r="AED40" i="9"/>
  <c r="AEC40" i="9"/>
  <c r="AEB40" i="9"/>
  <c r="AEA40" i="9"/>
  <c r="ADZ40" i="9"/>
  <c r="ADY40" i="9"/>
  <c r="ADX40" i="9"/>
  <c r="AFJ39" i="9"/>
  <c r="AEW39" i="9"/>
  <c r="AEJ39" i="9"/>
  <c r="AFJ38" i="9"/>
  <c r="AEW38" i="9"/>
  <c r="AEJ38" i="9"/>
  <c r="AFK38" i="9" s="1"/>
  <c r="AFJ37" i="9"/>
  <c r="AEW37" i="9"/>
  <c r="AEJ37" i="9"/>
  <c r="AFJ36" i="9"/>
  <c r="AEW36" i="9"/>
  <c r="AEJ36" i="9"/>
  <c r="AFK36" i="9" s="1"/>
  <c r="AFJ35" i="9"/>
  <c r="AEW35" i="9"/>
  <c r="AEJ35" i="9"/>
  <c r="AFJ34" i="9"/>
  <c r="AEW34" i="9"/>
  <c r="AEJ34" i="9"/>
  <c r="AFJ33" i="9"/>
  <c r="AEW33" i="9"/>
  <c r="AEJ33" i="9"/>
  <c r="AFJ32" i="9"/>
  <c r="AEW32" i="9"/>
  <c r="AEJ32" i="9"/>
  <c r="AFJ31" i="9"/>
  <c r="AEW31" i="9"/>
  <c r="AEJ31" i="9"/>
  <c r="AFJ30" i="9"/>
  <c r="AEW30" i="9"/>
  <c r="AEJ30" i="9"/>
  <c r="AFJ29" i="9"/>
  <c r="AEW29" i="9"/>
  <c r="AEJ29" i="9"/>
  <c r="AFJ28" i="9"/>
  <c r="AEW28" i="9"/>
  <c r="AEJ28" i="9"/>
  <c r="AFJ27" i="9"/>
  <c r="AEW27" i="9"/>
  <c r="AEJ27" i="9"/>
  <c r="AFJ26" i="9"/>
  <c r="AEW26" i="9"/>
  <c r="AEJ26" i="9"/>
  <c r="AFJ25" i="9"/>
  <c r="AEW25" i="9"/>
  <c r="AEJ25" i="9"/>
  <c r="AFJ24" i="9"/>
  <c r="AEW24" i="9"/>
  <c r="AEJ24" i="9"/>
  <c r="AFJ23" i="9"/>
  <c r="AEW23" i="9"/>
  <c r="AEJ23" i="9"/>
  <c r="AFJ22" i="9"/>
  <c r="AEW22" i="9"/>
  <c r="AEJ22" i="9"/>
  <c r="AFJ21" i="9"/>
  <c r="AEW21" i="9"/>
  <c r="AEJ21" i="9"/>
  <c r="AFJ20" i="9"/>
  <c r="AEW20" i="9"/>
  <c r="AEJ20" i="9"/>
  <c r="AFJ19" i="9"/>
  <c r="AEW19" i="9"/>
  <c r="AEJ19" i="9"/>
  <c r="AFJ18" i="9"/>
  <c r="AEW18" i="9"/>
  <c r="AEJ18" i="9"/>
  <c r="AFJ17" i="9"/>
  <c r="AEW17" i="9"/>
  <c r="AEJ17" i="9"/>
  <c r="AFJ16" i="9"/>
  <c r="AEW16" i="9"/>
  <c r="AEJ16" i="9"/>
  <c r="AFJ15" i="9"/>
  <c r="AEW15" i="9"/>
  <c r="AEJ15" i="9"/>
  <c r="AFJ14" i="9"/>
  <c r="AEW14" i="9"/>
  <c r="AEJ14" i="9"/>
  <c r="AFJ13" i="9"/>
  <c r="AEW13" i="9"/>
  <c r="AEJ13" i="9"/>
  <c r="AFJ12" i="9"/>
  <c r="AEW12" i="9"/>
  <c r="AEJ12" i="9"/>
  <c r="AFJ11" i="9"/>
  <c r="AEW11" i="9"/>
  <c r="AEJ11" i="9"/>
  <c r="AFJ10" i="9"/>
  <c r="AEW10" i="9"/>
  <c r="AEJ10" i="9"/>
  <c r="AFJ9" i="9"/>
  <c r="AEW9" i="9"/>
  <c r="AEJ9" i="9"/>
  <c r="AFJ8" i="9"/>
  <c r="AEW8" i="9"/>
  <c r="AEJ8" i="9"/>
  <c r="AFJ7" i="9"/>
  <c r="AEW7" i="9"/>
  <c r="AEJ7" i="9"/>
  <c r="AFJ6" i="9"/>
  <c r="AEW6" i="9"/>
  <c r="AEJ6" i="9"/>
  <c r="ADU40" i="9"/>
  <c r="ADT40" i="9"/>
  <c r="ADS40" i="9"/>
  <c r="ADR40" i="9"/>
  <c r="ADQ40" i="9"/>
  <c r="ADP40" i="9"/>
  <c r="ADO40" i="9"/>
  <c r="ADN40" i="9"/>
  <c r="ADM40" i="9"/>
  <c r="ADL40" i="9"/>
  <c r="ADK40" i="9"/>
  <c r="ADJ40" i="9"/>
  <c r="ADH40" i="9"/>
  <c r="ADG40" i="9"/>
  <c r="ADF40" i="9"/>
  <c r="ADE40" i="9"/>
  <c r="ADD40" i="9"/>
  <c r="ADC40" i="9"/>
  <c r="ADB40" i="9"/>
  <c r="ADA40" i="9"/>
  <c r="ACZ40" i="9"/>
  <c r="ACY40" i="9"/>
  <c r="ACX40" i="9"/>
  <c r="ACW40" i="9"/>
  <c r="ACU40" i="9"/>
  <c r="ACT40" i="9"/>
  <c r="ACS40" i="9"/>
  <c r="ACR40" i="9"/>
  <c r="ACQ40" i="9"/>
  <c r="ACP40" i="9"/>
  <c r="ACO40" i="9"/>
  <c r="ACN40" i="9"/>
  <c r="ACM40" i="9"/>
  <c r="ACL40" i="9"/>
  <c r="ACK40" i="9"/>
  <c r="ACJ40" i="9"/>
  <c r="ADV39" i="9"/>
  <c r="ADI39" i="9"/>
  <c r="ACV39" i="9"/>
  <c r="ADV38" i="9"/>
  <c r="ADI38" i="9"/>
  <c r="ACV38" i="9"/>
  <c r="ADW38" i="9" s="1"/>
  <c r="ADV37" i="9"/>
  <c r="ADI37" i="9"/>
  <c r="ACV37" i="9"/>
  <c r="ADV36" i="9"/>
  <c r="ADI36" i="9"/>
  <c r="ACV36" i="9"/>
  <c r="ADV35" i="9"/>
  <c r="ADI35" i="9"/>
  <c r="ACV35" i="9"/>
  <c r="ADV34" i="9"/>
  <c r="ADI34" i="9"/>
  <c r="ACV34" i="9"/>
  <c r="ADV33" i="9"/>
  <c r="ADI33" i="9"/>
  <c r="ACV33" i="9"/>
  <c r="ADV32" i="9"/>
  <c r="ADI32" i="9"/>
  <c r="ACV32" i="9"/>
  <c r="ADV31" i="9"/>
  <c r="ADI31" i="9"/>
  <c r="ACV31" i="9"/>
  <c r="ADV30" i="9"/>
  <c r="ADI30" i="9"/>
  <c r="ACV30" i="9"/>
  <c r="ADV29" i="9"/>
  <c r="ADI29" i="9"/>
  <c r="ACV29" i="9"/>
  <c r="ADV28" i="9"/>
  <c r="ADI28" i="9"/>
  <c r="ACV28" i="9"/>
  <c r="ADV27" i="9"/>
  <c r="ADI27" i="9"/>
  <c r="ACV27" i="9"/>
  <c r="ADV26" i="9"/>
  <c r="ADI26" i="9"/>
  <c r="ACV26" i="9"/>
  <c r="ADV25" i="9"/>
  <c r="ADI25" i="9"/>
  <c r="ACV25" i="9"/>
  <c r="ADV24" i="9"/>
  <c r="ADI24" i="9"/>
  <c r="ACV24" i="9"/>
  <c r="ADV23" i="9"/>
  <c r="ADI23" i="9"/>
  <c r="ACV23" i="9"/>
  <c r="ADV22" i="9"/>
  <c r="ADI22" i="9"/>
  <c r="ACV22" i="9"/>
  <c r="ADV21" i="9"/>
  <c r="ADI21" i="9"/>
  <c r="ACV21" i="9"/>
  <c r="ADV20" i="9"/>
  <c r="ADI20" i="9"/>
  <c r="ACV20" i="9"/>
  <c r="ADV19" i="9"/>
  <c r="ADI19" i="9"/>
  <c r="ACV19" i="9"/>
  <c r="ADV18" i="9"/>
  <c r="ADI18" i="9"/>
  <c r="ACV18" i="9"/>
  <c r="ADV17" i="9"/>
  <c r="ADI17" i="9"/>
  <c r="ACV17" i="9"/>
  <c r="ADV16" i="9"/>
  <c r="ADI16" i="9"/>
  <c r="ACV16" i="9"/>
  <c r="ADV15" i="9"/>
  <c r="ADI15" i="9"/>
  <c r="ACV15" i="9"/>
  <c r="ADV14" i="9"/>
  <c r="ADI14" i="9"/>
  <c r="ACV14" i="9"/>
  <c r="ADV13" i="9"/>
  <c r="ADI13" i="9"/>
  <c r="ACV13" i="9"/>
  <c r="ADV12" i="9"/>
  <c r="ADI12" i="9"/>
  <c r="ACV12" i="9"/>
  <c r="ADV11" i="9"/>
  <c r="ADI11" i="9"/>
  <c r="ACV11" i="9"/>
  <c r="ADV10" i="9"/>
  <c r="ADI10" i="9"/>
  <c r="ACV10" i="9"/>
  <c r="ADV9" i="9"/>
  <c r="ADI9" i="9"/>
  <c r="ACV9" i="9"/>
  <c r="ADV8" i="9"/>
  <c r="ADI8" i="9"/>
  <c r="ACV8" i="9"/>
  <c r="ADV7" i="9"/>
  <c r="ADI7" i="9"/>
  <c r="ACV7" i="9"/>
  <c r="ADV6" i="9"/>
  <c r="ADI6" i="9"/>
  <c r="ACV6" i="9"/>
  <c r="ACG40" i="9"/>
  <c r="ACF40" i="9"/>
  <c r="ACE40" i="9"/>
  <c r="ACD40" i="9"/>
  <c r="ACC40" i="9"/>
  <c r="ACB40" i="9"/>
  <c r="ACA40" i="9"/>
  <c r="ABZ40" i="9"/>
  <c r="ABY40" i="9"/>
  <c r="ABX40" i="9"/>
  <c r="ABW40" i="9"/>
  <c r="ABV40" i="9"/>
  <c r="ABT40" i="9"/>
  <c r="ABS40" i="9"/>
  <c r="ABR40" i="9"/>
  <c r="ABQ40" i="9"/>
  <c r="ABP40" i="9"/>
  <c r="ABO40" i="9"/>
  <c r="ABN40" i="9"/>
  <c r="ABM40" i="9"/>
  <c r="ABL40" i="9"/>
  <c r="ABK40" i="9"/>
  <c r="ABJ40" i="9"/>
  <c r="ABI40" i="9"/>
  <c r="ABG40" i="9"/>
  <c r="ABF40" i="9"/>
  <c r="ABE40" i="9"/>
  <c r="ABD40" i="9"/>
  <c r="ABC40" i="9"/>
  <c r="ABB40" i="9"/>
  <c r="ABA40" i="9"/>
  <c r="AAZ40" i="9"/>
  <c r="AAY40" i="9"/>
  <c r="AAX40" i="9"/>
  <c r="AAW40" i="9"/>
  <c r="AAV40" i="9"/>
  <c r="ACH39" i="9"/>
  <c r="ABU39" i="9"/>
  <c r="ABH39" i="9"/>
  <c r="ACH38" i="9"/>
  <c r="ABU38" i="9"/>
  <c r="ABH38" i="9"/>
  <c r="ACI38" i="9" s="1"/>
  <c r="ACH37" i="9"/>
  <c r="ABU37" i="9"/>
  <c r="ABH37" i="9"/>
  <c r="ACH36" i="9"/>
  <c r="ABU36" i="9"/>
  <c r="ABH36" i="9"/>
  <c r="ACH35" i="9"/>
  <c r="ABU35" i="9"/>
  <c r="ABH35" i="9"/>
  <c r="ACH34" i="9"/>
  <c r="ABU34" i="9"/>
  <c r="ABH34" i="9"/>
  <c r="ACH33" i="9"/>
  <c r="ABU33" i="9"/>
  <c r="ABH33" i="9"/>
  <c r="ACH32" i="9"/>
  <c r="ABU32" i="9"/>
  <c r="ABH32" i="9"/>
  <c r="ACH31" i="9"/>
  <c r="ABU31" i="9"/>
  <c r="ABH31" i="9"/>
  <c r="ACH30" i="9"/>
  <c r="ABU30" i="9"/>
  <c r="ABH30" i="9"/>
  <c r="ACH29" i="9"/>
  <c r="ABU29" i="9"/>
  <c r="ABH29" i="9"/>
  <c r="ACH28" i="9"/>
  <c r="ABU28" i="9"/>
  <c r="ABH28" i="9"/>
  <c r="ACH27" i="9"/>
  <c r="ABU27" i="9"/>
  <c r="ABH27" i="9"/>
  <c r="ACH26" i="9"/>
  <c r="ABU26" i="9"/>
  <c r="ABH26" i="9"/>
  <c r="ACH25" i="9"/>
  <c r="ABU25" i="9"/>
  <c r="ABH25" i="9"/>
  <c r="ACH24" i="9"/>
  <c r="ABU24" i="9"/>
  <c r="ABH24" i="9"/>
  <c r="ACH23" i="9"/>
  <c r="ABU23" i="9"/>
  <c r="ABH23" i="9"/>
  <c r="ACH22" i="9"/>
  <c r="ABU22" i="9"/>
  <c r="ABH22" i="9"/>
  <c r="ACH21" i="9"/>
  <c r="ABU21" i="9"/>
  <c r="ABH21" i="9"/>
  <c r="ACH20" i="9"/>
  <c r="ABU20" i="9"/>
  <c r="ABH20" i="9"/>
  <c r="ACH19" i="9"/>
  <c r="ABU19" i="9"/>
  <c r="ABH19" i="9"/>
  <c r="ACH18" i="9"/>
  <c r="ABU18" i="9"/>
  <c r="ABH18" i="9"/>
  <c r="ACH17" i="9"/>
  <c r="ABU17" i="9"/>
  <c r="ABH17" i="9"/>
  <c r="ACH16" i="9"/>
  <c r="ABU16" i="9"/>
  <c r="ABH16" i="9"/>
  <c r="ACH15" i="9"/>
  <c r="ABU15" i="9"/>
  <c r="ABH15" i="9"/>
  <c r="ACH14" i="9"/>
  <c r="ABU14" i="9"/>
  <c r="ABH14" i="9"/>
  <c r="ACH13" i="9"/>
  <c r="ABU13" i="9"/>
  <c r="ABH13" i="9"/>
  <c r="ACH12" i="9"/>
  <c r="ABU12" i="9"/>
  <c r="ABH12" i="9"/>
  <c r="ACH11" i="9"/>
  <c r="ABU11" i="9"/>
  <c r="ABH11" i="9"/>
  <c r="ACH10" i="9"/>
  <c r="ABU10" i="9"/>
  <c r="ABH10" i="9"/>
  <c r="ACH9" i="9"/>
  <c r="ABU9" i="9"/>
  <c r="ABH9" i="9"/>
  <c r="ACH8" i="9"/>
  <c r="ABU8" i="9"/>
  <c r="ABH8" i="9"/>
  <c r="ACH7" i="9"/>
  <c r="ABU7" i="9"/>
  <c r="ABH7" i="9"/>
  <c r="ACH6" i="9"/>
  <c r="ABU6" i="9"/>
  <c r="ABH6" i="9"/>
  <c r="AAS40" i="9"/>
  <c r="AAR40" i="9"/>
  <c r="AAQ40" i="9"/>
  <c r="AAP40" i="9"/>
  <c r="AAO40" i="9"/>
  <c r="AAN40" i="9"/>
  <c r="AAM40" i="9"/>
  <c r="AAL40" i="9"/>
  <c r="AAK40" i="9"/>
  <c r="AAJ40" i="9"/>
  <c r="AAI40" i="9"/>
  <c r="AAH40" i="9"/>
  <c r="AAF40" i="9"/>
  <c r="AAE40" i="9"/>
  <c r="AAD40" i="9"/>
  <c r="AAC40" i="9"/>
  <c r="AAB40" i="9"/>
  <c r="AAA40" i="9"/>
  <c r="ZZ40" i="9"/>
  <c r="ZY40" i="9"/>
  <c r="ZX40" i="9"/>
  <c r="ZW40" i="9"/>
  <c r="ZV40" i="9"/>
  <c r="ZU40" i="9"/>
  <c r="ZS40" i="9"/>
  <c r="ZR40" i="9"/>
  <c r="ZQ40" i="9"/>
  <c r="ZP40" i="9"/>
  <c r="ZO40" i="9"/>
  <c r="ZN40" i="9"/>
  <c r="ZM40" i="9"/>
  <c r="ZL40" i="9"/>
  <c r="ZK40" i="9"/>
  <c r="ZJ40" i="9"/>
  <c r="ZI40" i="9"/>
  <c r="ZH40" i="9"/>
  <c r="AAT39" i="9"/>
  <c r="AAG39" i="9"/>
  <c r="ZT39" i="9"/>
  <c r="AAT38" i="9"/>
  <c r="AAG38" i="9"/>
  <c r="ZT38" i="9"/>
  <c r="AAU38" i="9" s="1"/>
  <c r="AAT37" i="9"/>
  <c r="AAG37" i="9"/>
  <c r="ZT37" i="9"/>
  <c r="AAT36" i="9"/>
  <c r="AAG36" i="9"/>
  <c r="ZT36" i="9"/>
  <c r="AAT35" i="9"/>
  <c r="AAG35" i="9"/>
  <c r="ZT35" i="9"/>
  <c r="AAT34" i="9"/>
  <c r="AAG34" i="9"/>
  <c r="ZT34" i="9"/>
  <c r="AAT33" i="9"/>
  <c r="AAG33" i="9"/>
  <c r="ZT33" i="9"/>
  <c r="AAT32" i="9"/>
  <c r="AAG32" i="9"/>
  <c r="ZT32" i="9"/>
  <c r="AAT31" i="9"/>
  <c r="AAG31" i="9"/>
  <c r="ZT31" i="9"/>
  <c r="AAT30" i="9"/>
  <c r="AAG30" i="9"/>
  <c r="ZT30" i="9"/>
  <c r="AAT29" i="9"/>
  <c r="AAG29" i="9"/>
  <c r="ZT29" i="9"/>
  <c r="AAT28" i="9"/>
  <c r="AAG28" i="9"/>
  <c r="ZT28" i="9"/>
  <c r="AAT27" i="9"/>
  <c r="AAG27" i="9"/>
  <c r="ZT27" i="9"/>
  <c r="AAT26" i="9"/>
  <c r="AAG26" i="9"/>
  <c r="ZT26" i="9"/>
  <c r="AAT25" i="9"/>
  <c r="AAG25" i="9"/>
  <c r="ZT25" i="9"/>
  <c r="AAT24" i="9"/>
  <c r="AAG24" i="9"/>
  <c r="ZT24" i="9"/>
  <c r="AAT23" i="9"/>
  <c r="AAG23" i="9"/>
  <c r="ZT23" i="9"/>
  <c r="AAT22" i="9"/>
  <c r="AAG22" i="9"/>
  <c r="ZT22" i="9"/>
  <c r="AAT21" i="9"/>
  <c r="AAG21" i="9"/>
  <c r="ZT21" i="9"/>
  <c r="AAT20" i="9"/>
  <c r="AAG20" i="9"/>
  <c r="ZT20" i="9"/>
  <c r="AAT19" i="9"/>
  <c r="AAG19" i="9"/>
  <c r="ZT19" i="9"/>
  <c r="AAT18" i="9"/>
  <c r="AAG18" i="9"/>
  <c r="ZT18" i="9"/>
  <c r="AAT17" i="9"/>
  <c r="AAG17" i="9"/>
  <c r="ZT17" i="9"/>
  <c r="AAT16" i="9"/>
  <c r="AAG16" i="9"/>
  <c r="ZT16" i="9"/>
  <c r="AAT15" i="9"/>
  <c r="AAG15" i="9"/>
  <c r="ZT15" i="9"/>
  <c r="AAT14" i="9"/>
  <c r="AAG14" i="9"/>
  <c r="ZT14" i="9"/>
  <c r="AAT13" i="9"/>
  <c r="AAG13" i="9"/>
  <c r="ZT13" i="9"/>
  <c r="AAT12" i="9"/>
  <c r="AAG12" i="9"/>
  <c r="ZT12" i="9"/>
  <c r="AAT11" i="9"/>
  <c r="AAG11" i="9"/>
  <c r="ZT11" i="9"/>
  <c r="AAT10" i="9"/>
  <c r="AAG10" i="9"/>
  <c r="ZT10" i="9"/>
  <c r="AAT9" i="9"/>
  <c r="AAG9" i="9"/>
  <c r="ZT9" i="9"/>
  <c r="AAT8" i="9"/>
  <c r="AAG8" i="9"/>
  <c r="ZT8" i="9"/>
  <c r="AAT7" i="9"/>
  <c r="AAG7" i="9"/>
  <c r="ZT7" i="9"/>
  <c r="AAT6" i="9"/>
  <c r="AAG6" i="9"/>
  <c r="ZT6" i="9"/>
  <c r="ZE40" i="9"/>
  <c r="ZD40" i="9"/>
  <c r="ZC40" i="9"/>
  <c r="ZB40" i="9"/>
  <c r="ZA40" i="9"/>
  <c r="YZ40" i="9"/>
  <c r="YY40" i="9"/>
  <c r="YX40" i="9"/>
  <c r="YW40" i="9"/>
  <c r="YV40" i="9"/>
  <c r="YU40" i="9"/>
  <c r="YT40" i="9"/>
  <c r="YR40" i="9"/>
  <c r="YQ40" i="9"/>
  <c r="YP40" i="9"/>
  <c r="YO40" i="9"/>
  <c r="YN40" i="9"/>
  <c r="YM40" i="9"/>
  <c r="YL40" i="9"/>
  <c r="YK40" i="9"/>
  <c r="YJ40" i="9"/>
  <c r="YI40" i="9"/>
  <c r="YH40" i="9"/>
  <c r="YG40" i="9"/>
  <c r="YE40" i="9"/>
  <c r="YD40" i="9"/>
  <c r="YC40" i="9"/>
  <c r="YB40" i="9"/>
  <c r="YA40" i="9"/>
  <c r="XZ40" i="9"/>
  <c r="XY40" i="9"/>
  <c r="XX40" i="9"/>
  <c r="XW40" i="9"/>
  <c r="XV40" i="9"/>
  <c r="XU40" i="9"/>
  <c r="XT40" i="9"/>
  <c r="ZF39" i="9"/>
  <c r="YS39" i="9"/>
  <c r="YF39" i="9"/>
  <c r="ZF38" i="9"/>
  <c r="YS38" i="9"/>
  <c r="YF38" i="9"/>
  <c r="ZG38" i="9" s="1"/>
  <c r="ZF37" i="9"/>
  <c r="YS37" i="9"/>
  <c r="YF37" i="9"/>
  <c r="ZF36" i="9"/>
  <c r="YS36" i="9"/>
  <c r="YF36" i="9"/>
  <c r="ZF35" i="9"/>
  <c r="YS35" i="9"/>
  <c r="YF35" i="9"/>
  <c r="ZF34" i="9"/>
  <c r="YS34" i="9"/>
  <c r="YF34" i="9"/>
  <c r="ZF33" i="9"/>
  <c r="YS33" i="9"/>
  <c r="YF33" i="9"/>
  <c r="ZF32" i="9"/>
  <c r="YS32" i="9"/>
  <c r="YF32" i="9"/>
  <c r="ZF31" i="9"/>
  <c r="YS31" i="9"/>
  <c r="YF31" i="9"/>
  <c r="ZF30" i="9"/>
  <c r="YS30" i="9"/>
  <c r="YF30" i="9"/>
  <c r="ZF29" i="9"/>
  <c r="YS29" i="9"/>
  <c r="YF29" i="9"/>
  <c r="ZF28" i="9"/>
  <c r="YS28" i="9"/>
  <c r="YF28" i="9"/>
  <c r="ZF27" i="9"/>
  <c r="YS27" i="9"/>
  <c r="YF27" i="9"/>
  <c r="ZF26" i="9"/>
  <c r="YS26" i="9"/>
  <c r="YF26" i="9"/>
  <c r="ZF25" i="9"/>
  <c r="YS25" i="9"/>
  <c r="YF25" i="9"/>
  <c r="ZF24" i="9"/>
  <c r="YS24" i="9"/>
  <c r="YF24" i="9"/>
  <c r="ZF23" i="9"/>
  <c r="YS23" i="9"/>
  <c r="YF23" i="9"/>
  <c r="ZF22" i="9"/>
  <c r="YS22" i="9"/>
  <c r="YF22" i="9"/>
  <c r="ZF21" i="9"/>
  <c r="YS21" i="9"/>
  <c r="YF21" i="9"/>
  <c r="ZF20" i="9"/>
  <c r="YS20" i="9"/>
  <c r="YF20" i="9"/>
  <c r="ZF19" i="9"/>
  <c r="YS19" i="9"/>
  <c r="YF19" i="9"/>
  <c r="ZF18" i="9"/>
  <c r="YS18" i="9"/>
  <c r="YF18" i="9"/>
  <c r="ZF17" i="9"/>
  <c r="YS17" i="9"/>
  <c r="YF17" i="9"/>
  <c r="ZF16" i="9"/>
  <c r="YS16" i="9"/>
  <c r="YF16" i="9"/>
  <c r="ZF15" i="9"/>
  <c r="YS15" i="9"/>
  <c r="YF15" i="9"/>
  <c r="ZF14" i="9"/>
  <c r="YS14" i="9"/>
  <c r="YF14" i="9"/>
  <c r="ZF13" i="9"/>
  <c r="YS13" i="9"/>
  <c r="YF13" i="9"/>
  <c r="ZF12" i="9"/>
  <c r="YS12" i="9"/>
  <c r="YF12" i="9"/>
  <c r="ZF11" i="9"/>
  <c r="YS11" i="9"/>
  <c r="YF11" i="9"/>
  <c r="ZF10" i="9"/>
  <c r="YS10" i="9"/>
  <c r="YF10" i="9"/>
  <c r="ZF9" i="9"/>
  <c r="YS9" i="9"/>
  <c r="YF9" i="9"/>
  <c r="ZF8" i="9"/>
  <c r="YS8" i="9"/>
  <c r="YF8" i="9"/>
  <c r="ZF7" i="9"/>
  <c r="YS7" i="9"/>
  <c r="YF7" i="9"/>
  <c r="ZF6" i="9"/>
  <c r="YS6" i="9"/>
  <c r="YF6" i="9"/>
  <c r="XQ40" i="9"/>
  <c r="XP40" i="9"/>
  <c r="XO40" i="9"/>
  <c r="XN40" i="9"/>
  <c r="XM40" i="9"/>
  <c r="XL40" i="9"/>
  <c r="XK40" i="9"/>
  <c r="XJ40" i="9"/>
  <c r="XI40" i="9"/>
  <c r="XH40" i="9"/>
  <c r="XG40" i="9"/>
  <c r="XF40" i="9"/>
  <c r="XD40" i="9"/>
  <c r="XC40" i="9"/>
  <c r="XB40" i="9"/>
  <c r="XA40" i="9"/>
  <c r="WZ40" i="9"/>
  <c r="WY40" i="9"/>
  <c r="WX40" i="9"/>
  <c r="WW40" i="9"/>
  <c r="WV40" i="9"/>
  <c r="WU40" i="9"/>
  <c r="WT40" i="9"/>
  <c r="WS40" i="9"/>
  <c r="WQ40" i="9"/>
  <c r="WP40" i="9"/>
  <c r="WO40" i="9"/>
  <c r="WN40" i="9"/>
  <c r="WM40" i="9"/>
  <c r="WL40" i="9"/>
  <c r="WK40" i="9"/>
  <c r="WJ40" i="9"/>
  <c r="WI40" i="9"/>
  <c r="WH40" i="9"/>
  <c r="WG40" i="9"/>
  <c r="WF40" i="9"/>
  <c r="XR39" i="9"/>
  <c r="XE39" i="9"/>
  <c r="WR39" i="9"/>
  <c r="XR38" i="9"/>
  <c r="XE38" i="9"/>
  <c r="WR38" i="9"/>
  <c r="XS38" i="9" s="1"/>
  <c r="XR37" i="9"/>
  <c r="XE37" i="9"/>
  <c r="WR37" i="9"/>
  <c r="XR36" i="9"/>
  <c r="XE36" i="9"/>
  <c r="WR36" i="9"/>
  <c r="XR35" i="9"/>
  <c r="XE35" i="9"/>
  <c r="WR35" i="9"/>
  <c r="XR34" i="9"/>
  <c r="XE34" i="9"/>
  <c r="WR34" i="9"/>
  <c r="XR33" i="9"/>
  <c r="XE33" i="9"/>
  <c r="WR33" i="9"/>
  <c r="XR32" i="9"/>
  <c r="XE32" i="9"/>
  <c r="WR32" i="9"/>
  <c r="XR31" i="9"/>
  <c r="XE31" i="9"/>
  <c r="WR31" i="9"/>
  <c r="XR30" i="9"/>
  <c r="XE30" i="9"/>
  <c r="WR30" i="9"/>
  <c r="XR29" i="9"/>
  <c r="XE29" i="9"/>
  <c r="WR29" i="9"/>
  <c r="XR28" i="9"/>
  <c r="XE28" i="9"/>
  <c r="WR28" i="9"/>
  <c r="XR27" i="9"/>
  <c r="XE27" i="9"/>
  <c r="WR27" i="9"/>
  <c r="XR26" i="9"/>
  <c r="XE26" i="9"/>
  <c r="WR26" i="9"/>
  <c r="XR25" i="9"/>
  <c r="XE25" i="9"/>
  <c r="WR25" i="9"/>
  <c r="XR24" i="9"/>
  <c r="XE24" i="9"/>
  <c r="WR24" i="9"/>
  <c r="XR23" i="9"/>
  <c r="XE23" i="9"/>
  <c r="WR23" i="9"/>
  <c r="XR22" i="9"/>
  <c r="XE22" i="9"/>
  <c r="WR22" i="9"/>
  <c r="XR21" i="9"/>
  <c r="XE21" i="9"/>
  <c r="WR21" i="9"/>
  <c r="XR20" i="9"/>
  <c r="XE20" i="9"/>
  <c r="WR20" i="9"/>
  <c r="XR19" i="9"/>
  <c r="XE19" i="9"/>
  <c r="WR19" i="9"/>
  <c r="XR18" i="9"/>
  <c r="XE18" i="9"/>
  <c r="WR18" i="9"/>
  <c r="XR17" i="9"/>
  <c r="XE17" i="9"/>
  <c r="WR17" i="9"/>
  <c r="XR16" i="9"/>
  <c r="XE16" i="9"/>
  <c r="WR16" i="9"/>
  <c r="XR15" i="9"/>
  <c r="XE15" i="9"/>
  <c r="WR15" i="9"/>
  <c r="XR14" i="9"/>
  <c r="XE14" i="9"/>
  <c r="WR14" i="9"/>
  <c r="XR13" i="9"/>
  <c r="XE13" i="9"/>
  <c r="WR13" i="9"/>
  <c r="XR12" i="9"/>
  <c r="XE12" i="9"/>
  <c r="WR12" i="9"/>
  <c r="XR11" i="9"/>
  <c r="XE11" i="9"/>
  <c r="WR11" i="9"/>
  <c r="XR10" i="9"/>
  <c r="XE10" i="9"/>
  <c r="WR10" i="9"/>
  <c r="XR9" i="9"/>
  <c r="XE9" i="9"/>
  <c r="WR9" i="9"/>
  <c r="XR8" i="9"/>
  <c r="XE8" i="9"/>
  <c r="WR8" i="9"/>
  <c r="XR7" i="9"/>
  <c r="XE7" i="9"/>
  <c r="WR7" i="9"/>
  <c r="XR6" i="9"/>
  <c r="XE6" i="9"/>
  <c r="WR6" i="9"/>
  <c r="WC40" i="9"/>
  <c r="WB40" i="9"/>
  <c r="WA40" i="9"/>
  <c r="VZ40" i="9"/>
  <c r="VY40" i="9"/>
  <c r="VX40" i="9"/>
  <c r="VW40" i="9"/>
  <c r="VV40" i="9"/>
  <c r="VU40" i="9"/>
  <c r="VT40" i="9"/>
  <c r="VS40" i="9"/>
  <c r="VR40" i="9"/>
  <c r="VP40" i="9"/>
  <c r="VO40" i="9"/>
  <c r="VN40" i="9"/>
  <c r="VM40" i="9"/>
  <c r="VL40" i="9"/>
  <c r="VK40" i="9"/>
  <c r="VJ40" i="9"/>
  <c r="VI40" i="9"/>
  <c r="VH40" i="9"/>
  <c r="VG40" i="9"/>
  <c r="VF40" i="9"/>
  <c r="VE40" i="9"/>
  <c r="VC40" i="9"/>
  <c r="VB40" i="9"/>
  <c r="VA40" i="9"/>
  <c r="UZ40" i="9"/>
  <c r="UY40" i="9"/>
  <c r="UX40" i="9"/>
  <c r="UW40" i="9"/>
  <c r="UV40" i="9"/>
  <c r="UU40" i="9"/>
  <c r="UT40" i="9"/>
  <c r="US40" i="9"/>
  <c r="UR40" i="9"/>
  <c r="WD39" i="9"/>
  <c r="VQ39" i="9"/>
  <c r="VD39" i="9"/>
  <c r="WD38" i="9"/>
  <c r="VQ38" i="9"/>
  <c r="VD38" i="9"/>
  <c r="WE38" i="9" s="1"/>
  <c r="WD37" i="9"/>
  <c r="VQ37" i="9"/>
  <c r="VD37" i="9"/>
  <c r="WD36" i="9"/>
  <c r="VQ36" i="9"/>
  <c r="VD36" i="9"/>
  <c r="WD35" i="9"/>
  <c r="VQ35" i="9"/>
  <c r="VD35" i="9"/>
  <c r="WD34" i="9"/>
  <c r="VQ34" i="9"/>
  <c r="VD34" i="9"/>
  <c r="WD33" i="9"/>
  <c r="VQ33" i="9"/>
  <c r="VD33" i="9"/>
  <c r="WD32" i="9"/>
  <c r="VQ32" i="9"/>
  <c r="VD32" i="9"/>
  <c r="WD31" i="9"/>
  <c r="VQ31" i="9"/>
  <c r="VD31" i="9"/>
  <c r="WD30" i="9"/>
  <c r="VQ30" i="9"/>
  <c r="VD30" i="9"/>
  <c r="WD29" i="9"/>
  <c r="VQ29" i="9"/>
  <c r="VD29" i="9"/>
  <c r="WD28" i="9"/>
  <c r="VQ28" i="9"/>
  <c r="VD28" i="9"/>
  <c r="WD27" i="9"/>
  <c r="VQ27" i="9"/>
  <c r="VD27" i="9"/>
  <c r="WD26" i="9"/>
  <c r="VQ26" i="9"/>
  <c r="VD26" i="9"/>
  <c r="WD25" i="9"/>
  <c r="VQ25" i="9"/>
  <c r="VD25" i="9"/>
  <c r="WD24" i="9"/>
  <c r="VQ24" i="9"/>
  <c r="VD24" i="9"/>
  <c r="WD23" i="9"/>
  <c r="VQ23" i="9"/>
  <c r="VD23" i="9"/>
  <c r="WD22" i="9"/>
  <c r="VQ22" i="9"/>
  <c r="VD22" i="9"/>
  <c r="WD21" i="9"/>
  <c r="VQ21" i="9"/>
  <c r="VD21" i="9"/>
  <c r="WD20" i="9"/>
  <c r="VQ20" i="9"/>
  <c r="VD20" i="9"/>
  <c r="WD19" i="9"/>
  <c r="VQ19" i="9"/>
  <c r="VD19" i="9"/>
  <c r="WD18" i="9"/>
  <c r="VQ18" i="9"/>
  <c r="VD18" i="9"/>
  <c r="WD17" i="9"/>
  <c r="VQ17" i="9"/>
  <c r="VD17" i="9"/>
  <c r="WD16" i="9"/>
  <c r="VQ16" i="9"/>
  <c r="VD16" i="9"/>
  <c r="WD15" i="9"/>
  <c r="VQ15" i="9"/>
  <c r="VD15" i="9"/>
  <c r="WD14" i="9"/>
  <c r="VQ14" i="9"/>
  <c r="VD14" i="9"/>
  <c r="WD13" i="9"/>
  <c r="VQ13" i="9"/>
  <c r="VD13" i="9"/>
  <c r="WD12" i="9"/>
  <c r="VQ12" i="9"/>
  <c r="VD12" i="9"/>
  <c r="WD11" i="9"/>
  <c r="VQ11" i="9"/>
  <c r="VD11" i="9"/>
  <c r="WD10" i="9"/>
  <c r="VQ10" i="9"/>
  <c r="VD10" i="9"/>
  <c r="WD9" i="9"/>
  <c r="VQ9" i="9"/>
  <c r="VD9" i="9"/>
  <c r="WD8" i="9"/>
  <c r="VQ8" i="9"/>
  <c r="VD8" i="9"/>
  <c r="WD7" i="9"/>
  <c r="VQ7" i="9"/>
  <c r="VD7" i="9"/>
  <c r="WD6" i="9"/>
  <c r="VQ6" i="9"/>
  <c r="VD6" i="9"/>
  <c r="UO40" i="9"/>
  <c r="UN40" i="9"/>
  <c r="UM40" i="9"/>
  <c r="UL40" i="9"/>
  <c r="UK40" i="9"/>
  <c r="UJ40" i="9"/>
  <c r="UI40" i="9"/>
  <c r="UH40" i="9"/>
  <c r="UG40" i="9"/>
  <c r="UF40" i="9"/>
  <c r="UE40" i="9"/>
  <c r="UD40" i="9"/>
  <c r="UB40" i="9"/>
  <c r="UA40" i="9"/>
  <c r="TZ40" i="9"/>
  <c r="TY40" i="9"/>
  <c r="TX40" i="9"/>
  <c r="TW40" i="9"/>
  <c r="TV40" i="9"/>
  <c r="TU40" i="9"/>
  <c r="TT40" i="9"/>
  <c r="TS40" i="9"/>
  <c r="TR40" i="9"/>
  <c r="TQ40" i="9"/>
  <c r="TO40" i="9"/>
  <c r="TN40" i="9"/>
  <c r="TM40" i="9"/>
  <c r="TL40" i="9"/>
  <c r="TK40" i="9"/>
  <c r="TJ40" i="9"/>
  <c r="TI40" i="9"/>
  <c r="TH40" i="9"/>
  <c r="TG40" i="9"/>
  <c r="TF40" i="9"/>
  <c r="TE40" i="9"/>
  <c r="TD40" i="9"/>
  <c r="UP39" i="9"/>
  <c r="UC39" i="9"/>
  <c r="TP39" i="9"/>
  <c r="UP38" i="9"/>
  <c r="UC38" i="9"/>
  <c r="TP38" i="9"/>
  <c r="UP37" i="9"/>
  <c r="UC37" i="9"/>
  <c r="TP37" i="9"/>
  <c r="UP36" i="9"/>
  <c r="UC36" i="9"/>
  <c r="TP36" i="9"/>
  <c r="UP35" i="9"/>
  <c r="UC35" i="9"/>
  <c r="TP35" i="9"/>
  <c r="UP34" i="9"/>
  <c r="UC34" i="9"/>
  <c r="TP34" i="9"/>
  <c r="UP33" i="9"/>
  <c r="UC33" i="9"/>
  <c r="TP33" i="9"/>
  <c r="UP32" i="9"/>
  <c r="UC32" i="9"/>
  <c r="TP32" i="9"/>
  <c r="UP31" i="9"/>
  <c r="UC31" i="9"/>
  <c r="TP31" i="9"/>
  <c r="UP30" i="9"/>
  <c r="UC30" i="9"/>
  <c r="TP30" i="9"/>
  <c r="UP29" i="9"/>
  <c r="UC29" i="9"/>
  <c r="TP29" i="9"/>
  <c r="UP28" i="9"/>
  <c r="UC28" i="9"/>
  <c r="TP28" i="9"/>
  <c r="UP27" i="9"/>
  <c r="UC27" i="9"/>
  <c r="TP27" i="9"/>
  <c r="UP26" i="9"/>
  <c r="UC26" i="9"/>
  <c r="TP26" i="9"/>
  <c r="UP25" i="9"/>
  <c r="UC25" i="9"/>
  <c r="TP25" i="9"/>
  <c r="UP24" i="9"/>
  <c r="UC24" i="9"/>
  <c r="TP24" i="9"/>
  <c r="UP23" i="9"/>
  <c r="UC23" i="9"/>
  <c r="TP23" i="9"/>
  <c r="UP22" i="9"/>
  <c r="UC22" i="9"/>
  <c r="TP22" i="9"/>
  <c r="UP21" i="9"/>
  <c r="UC21" i="9"/>
  <c r="TP21" i="9"/>
  <c r="UP20" i="9"/>
  <c r="UC20" i="9"/>
  <c r="TP20" i="9"/>
  <c r="UP19" i="9"/>
  <c r="UC19" i="9"/>
  <c r="TP19" i="9"/>
  <c r="UP18" i="9"/>
  <c r="UC18" i="9"/>
  <c r="TP18" i="9"/>
  <c r="UP17" i="9"/>
  <c r="UC17" i="9"/>
  <c r="TP17" i="9"/>
  <c r="UP16" i="9"/>
  <c r="UC16" i="9"/>
  <c r="TP16" i="9"/>
  <c r="UP15" i="9"/>
  <c r="UC15" i="9"/>
  <c r="TP15" i="9"/>
  <c r="UP14" i="9"/>
  <c r="UC14" i="9"/>
  <c r="TP14" i="9"/>
  <c r="UP13" i="9"/>
  <c r="UC13" i="9"/>
  <c r="TP13" i="9"/>
  <c r="UP12" i="9"/>
  <c r="UC12" i="9"/>
  <c r="TP12" i="9"/>
  <c r="UP11" i="9"/>
  <c r="UC11" i="9"/>
  <c r="TP11" i="9"/>
  <c r="UP10" i="9"/>
  <c r="UC10" i="9"/>
  <c r="TP10" i="9"/>
  <c r="UP9" i="9"/>
  <c r="UC9" i="9"/>
  <c r="TP9" i="9"/>
  <c r="UP8" i="9"/>
  <c r="UC8" i="9"/>
  <c r="TP8" i="9"/>
  <c r="UP7" i="9"/>
  <c r="UC7" i="9"/>
  <c r="TP7" i="9"/>
  <c r="UP6" i="9"/>
  <c r="UC6" i="9"/>
  <c r="TP6" i="9"/>
  <c r="TA40" i="9"/>
  <c r="SZ40" i="9"/>
  <c r="SY40" i="9"/>
  <c r="SX40" i="9"/>
  <c r="SW40" i="9"/>
  <c r="SV40" i="9"/>
  <c r="SU40" i="9"/>
  <c r="ST40" i="9"/>
  <c r="SS40" i="9"/>
  <c r="SR40" i="9"/>
  <c r="SQ40" i="9"/>
  <c r="SP40" i="9"/>
  <c r="SN40" i="9"/>
  <c r="SM40" i="9"/>
  <c r="SL40" i="9"/>
  <c r="SK40" i="9"/>
  <c r="SJ40" i="9"/>
  <c r="SI40" i="9"/>
  <c r="SH40" i="9"/>
  <c r="SG40" i="9"/>
  <c r="SF40" i="9"/>
  <c r="SE40" i="9"/>
  <c r="SD40" i="9"/>
  <c r="SC40" i="9"/>
  <c r="SA40" i="9"/>
  <c r="RZ40" i="9"/>
  <c r="RY40" i="9"/>
  <c r="RX40" i="9"/>
  <c r="RW40" i="9"/>
  <c r="RV40" i="9"/>
  <c r="RU40" i="9"/>
  <c r="RT40" i="9"/>
  <c r="RS40" i="9"/>
  <c r="RR40" i="9"/>
  <c r="RQ40" i="9"/>
  <c r="RP40" i="9"/>
  <c r="TB39" i="9"/>
  <c r="SO39" i="9"/>
  <c r="SB39" i="9"/>
  <c r="TB38" i="9"/>
  <c r="SO38" i="9"/>
  <c r="SB38" i="9"/>
  <c r="TB37" i="9"/>
  <c r="SO37" i="9"/>
  <c r="SB37" i="9"/>
  <c r="TB36" i="9"/>
  <c r="SO36" i="9"/>
  <c r="SB36" i="9"/>
  <c r="TB35" i="9"/>
  <c r="SO35" i="9"/>
  <c r="SB35" i="9"/>
  <c r="TB34" i="9"/>
  <c r="SO34" i="9"/>
  <c r="SB34" i="9"/>
  <c r="TB33" i="9"/>
  <c r="SO33" i="9"/>
  <c r="SB33" i="9"/>
  <c r="TB32" i="9"/>
  <c r="SO32" i="9"/>
  <c r="SB32" i="9"/>
  <c r="TB31" i="9"/>
  <c r="SO31" i="9"/>
  <c r="SB31" i="9"/>
  <c r="TB30" i="9"/>
  <c r="SO30" i="9"/>
  <c r="SB30" i="9"/>
  <c r="TB29" i="9"/>
  <c r="SO29" i="9"/>
  <c r="SB29" i="9"/>
  <c r="TB28" i="9"/>
  <c r="SO28" i="9"/>
  <c r="SB28" i="9"/>
  <c r="TB27" i="9"/>
  <c r="SO27" i="9"/>
  <c r="SB27" i="9"/>
  <c r="TB26" i="9"/>
  <c r="SO26" i="9"/>
  <c r="SB26" i="9"/>
  <c r="TB25" i="9"/>
  <c r="SO25" i="9"/>
  <c r="SB25" i="9"/>
  <c r="TB24" i="9"/>
  <c r="SO24" i="9"/>
  <c r="SB24" i="9"/>
  <c r="TB23" i="9"/>
  <c r="SO23" i="9"/>
  <c r="SB23" i="9"/>
  <c r="TB22" i="9"/>
  <c r="SO22" i="9"/>
  <c r="SB22" i="9"/>
  <c r="TB21" i="9"/>
  <c r="SO21" i="9"/>
  <c r="SB21" i="9"/>
  <c r="TB20" i="9"/>
  <c r="SO20" i="9"/>
  <c r="SB20" i="9"/>
  <c r="TB19" i="9"/>
  <c r="SO19" i="9"/>
  <c r="SB19" i="9"/>
  <c r="TB18" i="9"/>
  <c r="SO18" i="9"/>
  <c r="SB18" i="9"/>
  <c r="TB17" i="9"/>
  <c r="SO17" i="9"/>
  <c r="SB17" i="9"/>
  <c r="TB16" i="9"/>
  <c r="SO16" i="9"/>
  <c r="SB16" i="9"/>
  <c r="TB15" i="9"/>
  <c r="SO15" i="9"/>
  <c r="SB15" i="9"/>
  <c r="TB14" i="9"/>
  <c r="SO14" i="9"/>
  <c r="SB14" i="9"/>
  <c r="TB13" i="9"/>
  <c r="SO13" i="9"/>
  <c r="SB13" i="9"/>
  <c r="TB12" i="9"/>
  <c r="SO12" i="9"/>
  <c r="SB12" i="9"/>
  <c r="TB11" i="9"/>
  <c r="SO11" i="9"/>
  <c r="SB11" i="9"/>
  <c r="TB10" i="9"/>
  <c r="SO10" i="9"/>
  <c r="SB10" i="9"/>
  <c r="TB9" i="9"/>
  <c r="SO9" i="9"/>
  <c r="SB9" i="9"/>
  <c r="TB8" i="9"/>
  <c r="SO8" i="9"/>
  <c r="SB8" i="9"/>
  <c r="TB7" i="9"/>
  <c r="SO7" i="9"/>
  <c r="SB7" i="9"/>
  <c r="TB6" i="9"/>
  <c r="SO6" i="9"/>
  <c r="SB6" i="9"/>
  <c r="RM40" i="9"/>
  <c r="RL40" i="9"/>
  <c r="RK40" i="9"/>
  <c r="RJ40" i="9"/>
  <c r="RI40" i="9"/>
  <c r="RH40" i="9"/>
  <c r="RG40" i="9"/>
  <c r="RF40" i="9"/>
  <c r="RE40" i="9"/>
  <c r="RD40" i="9"/>
  <c r="RC40" i="9"/>
  <c r="RB40" i="9"/>
  <c r="QZ40" i="9"/>
  <c r="QY40" i="9"/>
  <c r="QX40" i="9"/>
  <c r="QW40" i="9"/>
  <c r="QV40" i="9"/>
  <c r="QU40" i="9"/>
  <c r="QT40" i="9"/>
  <c r="QS40" i="9"/>
  <c r="QR40" i="9"/>
  <c r="QQ40" i="9"/>
  <c r="QP40" i="9"/>
  <c r="QO40" i="9"/>
  <c r="QM40" i="9"/>
  <c r="QL40" i="9"/>
  <c r="QK40" i="9"/>
  <c r="QJ40" i="9"/>
  <c r="QI40" i="9"/>
  <c r="QH40" i="9"/>
  <c r="QG40" i="9"/>
  <c r="QF40" i="9"/>
  <c r="QE40" i="9"/>
  <c r="QD40" i="9"/>
  <c r="QC40" i="9"/>
  <c r="QB40" i="9"/>
  <c r="RN39" i="9"/>
  <c r="RA39" i="9"/>
  <c r="QN39" i="9"/>
  <c r="RN38" i="9"/>
  <c r="RA38" i="9"/>
  <c r="QN38" i="9"/>
  <c r="RN37" i="9"/>
  <c r="RA37" i="9"/>
  <c r="QN37" i="9"/>
  <c r="RN36" i="9"/>
  <c r="RA36" i="9"/>
  <c r="QN36" i="9"/>
  <c r="RN35" i="9"/>
  <c r="RA35" i="9"/>
  <c r="QN35" i="9"/>
  <c r="RN34" i="9"/>
  <c r="RA34" i="9"/>
  <c r="QN34" i="9"/>
  <c r="RN33" i="9"/>
  <c r="RA33" i="9"/>
  <c r="QN33" i="9"/>
  <c r="RN32" i="9"/>
  <c r="RA32" i="9"/>
  <c r="QN32" i="9"/>
  <c r="RN31" i="9"/>
  <c r="RA31" i="9"/>
  <c r="QN31" i="9"/>
  <c r="RN30" i="9"/>
  <c r="RA30" i="9"/>
  <c r="QN30" i="9"/>
  <c r="RN29" i="9"/>
  <c r="RA29" i="9"/>
  <c r="QN29" i="9"/>
  <c r="RN28" i="9"/>
  <c r="RA28" i="9"/>
  <c r="QN28" i="9"/>
  <c r="RN27" i="9"/>
  <c r="RA27" i="9"/>
  <c r="QN27" i="9"/>
  <c r="RN26" i="9"/>
  <c r="RA26" i="9"/>
  <c r="QN26" i="9"/>
  <c r="RN25" i="9"/>
  <c r="RA25" i="9"/>
  <c r="QN25" i="9"/>
  <c r="RN24" i="9"/>
  <c r="RA24" i="9"/>
  <c r="QN24" i="9"/>
  <c r="RN23" i="9"/>
  <c r="RA23" i="9"/>
  <c r="QN23" i="9"/>
  <c r="RN22" i="9"/>
  <c r="RA22" i="9"/>
  <c r="QN22" i="9"/>
  <c r="RN21" i="9"/>
  <c r="RA21" i="9"/>
  <c r="QN21" i="9"/>
  <c r="RN20" i="9"/>
  <c r="RA20" i="9"/>
  <c r="QN20" i="9"/>
  <c r="RN19" i="9"/>
  <c r="RA19" i="9"/>
  <c r="QN19" i="9"/>
  <c r="RN18" i="9"/>
  <c r="RA18" i="9"/>
  <c r="QN18" i="9"/>
  <c r="RN17" i="9"/>
  <c r="RA17" i="9"/>
  <c r="QN17" i="9"/>
  <c r="RN16" i="9"/>
  <c r="RA16" i="9"/>
  <c r="QN16" i="9"/>
  <c r="RN15" i="9"/>
  <c r="RA15" i="9"/>
  <c r="QN15" i="9"/>
  <c r="RN14" i="9"/>
  <c r="RA14" i="9"/>
  <c r="QN14" i="9"/>
  <c r="RN13" i="9"/>
  <c r="RA13" i="9"/>
  <c r="QN13" i="9"/>
  <c r="RN12" i="9"/>
  <c r="RA12" i="9"/>
  <c r="QN12" i="9"/>
  <c r="RN11" i="9"/>
  <c r="RA11" i="9"/>
  <c r="QN11" i="9"/>
  <c r="RN10" i="9"/>
  <c r="RA10" i="9"/>
  <c r="QN10" i="9"/>
  <c r="RN9" i="9"/>
  <c r="RA9" i="9"/>
  <c r="QN9" i="9"/>
  <c r="RN8" i="9"/>
  <c r="RA8" i="9"/>
  <c r="QN8" i="9"/>
  <c r="RN7" i="9"/>
  <c r="RA7" i="9"/>
  <c r="QN7" i="9"/>
  <c r="RN6" i="9"/>
  <c r="RA6" i="9"/>
  <c r="QN6" i="9"/>
  <c r="PY40" i="9"/>
  <c r="PX40" i="9"/>
  <c r="PW40" i="9"/>
  <c r="PV40" i="9"/>
  <c r="PU40" i="9"/>
  <c r="PT40" i="9"/>
  <c r="PS40" i="9"/>
  <c r="PR40" i="9"/>
  <c r="PQ40" i="9"/>
  <c r="PP40" i="9"/>
  <c r="PO40" i="9"/>
  <c r="PN40" i="9"/>
  <c r="PL40" i="9"/>
  <c r="PK40" i="9"/>
  <c r="PJ40" i="9"/>
  <c r="PI40" i="9"/>
  <c r="PH40" i="9"/>
  <c r="PG40" i="9"/>
  <c r="PF40" i="9"/>
  <c r="PE40" i="9"/>
  <c r="PD40" i="9"/>
  <c r="PC40" i="9"/>
  <c r="PB40" i="9"/>
  <c r="PA40" i="9"/>
  <c r="OY40" i="9"/>
  <c r="OX40" i="9"/>
  <c r="OW40" i="9"/>
  <c r="OV40" i="9"/>
  <c r="OU40" i="9"/>
  <c r="OT40" i="9"/>
  <c r="OS40" i="9"/>
  <c r="OR40" i="9"/>
  <c r="OQ40" i="9"/>
  <c r="OP40" i="9"/>
  <c r="OO40" i="9"/>
  <c r="ON40" i="9"/>
  <c r="PZ39" i="9"/>
  <c r="PM39" i="9"/>
  <c r="OZ39" i="9"/>
  <c r="PZ38" i="9"/>
  <c r="PM38" i="9"/>
  <c r="OZ38" i="9"/>
  <c r="PZ37" i="9"/>
  <c r="PM37" i="9"/>
  <c r="OZ37" i="9"/>
  <c r="PZ36" i="9"/>
  <c r="PM36" i="9"/>
  <c r="OZ36" i="9"/>
  <c r="PZ35" i="9"/>
  <c r="PM35" i="9"/>
  <c r="OZ35" i="9"/>
  <c r="PZ34" i="9"/>
  <c r="PM34" i="9"/>
  <c r="OZ34" i="9"/>
  <c r="PZ33" i="9"/>
  <c r="PM33" i="9"/>
  <c r="OZ33" i="9"/>
  <c r="PZ32" i="9"/>
  <c r="PM32" i="9"/>
  <c r="OZ32" i="9"/>
  <c r="PZ31" i="9"/>
  <c r="PM31" i="9"/>
  <c r="OZ31" i="9"/>
  <c r="PZ30" i="9"/>
  <c r="PM30" i="9"/>
  <c r="OZ30" i="9"/>
  <c r="PZ29" i="9"/>
  <c r="PM29" i="9"/>
  <c r="OZ29" i="9"/>
  <c r="PZ28" i="9"/>
  <c r="PM28" i="9"/>
  <c r="OZ28" i="9"/>
  <c r="PZ27" i="9"/>
  <c r="PM27" i="9"/>
  <c r="OZ27" i="9"/>
  <c r="PZ26" i="9"/>
  <c r="PM26" i="9"/>
  <c r="OZ26" i="9"/>
  <c r="PZ25" i="9"/>
  <c r="PM25" i="9"/>
  <c r="OZ25" i="9"/>
  <c r="PZ24" i="9"/>
  <c r="PM24" i="9"/>
  <c r="OZ24" i="9"/>
  <c r="PZ23" i="9"/>
  <c r="PM23" i="9"/>
  <c r="OZ23" i="9"/>
  <c r="PZ22" i="9"/>
  <c r="PM22" i="9"/>
  <c r="OZ22" i="9"/>
  <c r="PZ21" i="9"/>
  <c r="PM21" i="9"/>
  <c r="OZ21" i="9"/>
  <c r="PZ20" i="9"/>
  <c r="PM20" i="9"/>
  <c r="OZ20" i="9"/>
  <c r="PZ19" i="9"/>
  <c r="PM19" i="9"/>
  <c r="OZ19" i="9"/>
  <c r="PZ18" i="9"/>
  <c r="PM18" i="9"/>
  <c r="OZ18" i="9"/>
  <c r="PZ17" i="9"/>
  <c r="PM17" i="9"/>
  <c r="OZ17" i="9"/>
  <c r="PZ16" i="9"/>
  <c r="PM16" i="9"/>
  <c r="OZ16" i="9"/>
  <c r="PZ15" i="9"/>
  <c r="PM15" i="9"/>
  <c r="OZ15" i="9"/>
  <c r="PZ14" i="9"/>
  <c r="PM14" i="9"/>
  <c r="OZ14" i="9"/>
  <c r="PZ13" i="9"/>
  <c r="PM13" i="9"/>
  <c r="OZ13" i="9"/>
  <c r="PZ12" i="9"/>
  <c r="PM12" i="9"/>
  <c r="OZ12" i="9"/>
  <c r="PZ11" i="9"/>
  <c r="PM11" i="9"/>
  <c r="OZ11" i="9"/>
  <c r="PZ10" i="9"/>
  <c r="PM10" i="9"/>
  <c r="OZ10" i="9"/>
  <c r="PZ9" i="9"/>
  <c r="PM9" i="9"/>
  <c r="OZ9" i="9"/>
  <c r="PZ8" i="9"/>
  <c r="PM8" i="9"/>
  <c r="OZ8" i="9"/>
  <c r="PZ7" i="9"/>
  <c r="PM7" i="9"/>
  <c r="OZ7" i="9"/>
  <c r="PZ6" i="9"/>
  <c r="PM6" i="9"/>
  <c r="OZ6" i="9"/>
  <c r="OK40" i="9"/>
  <c r="OJ40" i="9"/>
  <c r="OI40" i="9"/>
  <c r="OH40" i="9"/>
  <c r="OG40" i="9"/>
  <c r="OF40" i="9"/>
  <c r="OE40" i="9"/>
  <c r="OD40" i="9"/>
  <c r="OC40" i="9"/>
  <c r="OB40" i="9"/>
  <c r="OA40" i="9"/>
  <c r="NZ40" i="9"/>
  <c r="NX40" i="9"/>
  <c r="NW40" i="9"/>
  <c r="NV40" i="9"/>
  <c r="NU40" i="9"/>
  <c r="NT40" i="9"/>
  <c r="NS40" i="9"/>
  <c r="NR40" i="9"/>
  <c r="NQ40" i="9"/>
  <c r="NP40" i="9"/>
  <c r="NO40" i="9"/>
  <c r="NN40" i="9"/>
  <c r="NM40" i="9"/>
  <c r="NK40" i="9"/>
  <c r="NJ40" i="9"/>
  <c r="NI40" i="9"/>
  <c r="NH40" i="9"/>
  <c r="NG40" i="9"/>
  <c r="NF40" i="9"/>
  <c r="NE40" i="9"/>
  <c r="ND40" i="9"/>
  <c r="NC40" i="9"/>
  <c r="NB40" i="9"/>
  <c r="NA40" i="9"/>
  <c r="MZ40" i="9"/>
  <c r="MW40" i="9"/>
  <c r="MV40" i="9"/>
  <c r="MU40" i="9"/>
  <c r="MT40" i="9"/>
  <c r="MS40" i="9"/>
  <c r="MR40" i="9"/>
  <c r="MQ40" i="9"/>
  <c r="MP40" i="9"/>
  <c r="MO40" i="9"/>
  <c r="MN40" i="9"/>
  <c r="MM40" i="9"/>
  <c r="ML40" i="9"/>
  <c r="MJ40" i="9"/>
  <c r="MI40" i="9"/>
  <c r="MH40" i="9"/>
  <c r="MG40" i="9"/>
  <c r="MF40" i="9"/>
  <c r="ME40" i="9"/>
  <c r="MD40" i="9"/>
  <c r="MC40" i="9"/>
  <c r="MB40" i="9"/>
  <c r="MA40" i="9"/>
  <c r="LZ40" i="9"/>
  <c r="LY40" i="9"/>
  <c r="LW40" i="9"/>
  <c r="LV40" i="9"/>
  <c r="LU40" i="9"/>
  <c r="LT40" i="9"/>
  <c r="LS40" i="9"/>
  <c r="LR40" i="9"/>
  <c r="LQ40" i="9"/>
  <c r="LP40" i="9"/>
  <c r="LO40" i="9"/>
  <c r="LN40" i="9"/>
  <c r="LM40" i="9"/>
  <c r="LL40" i="9"/>
  <c r="LI40" i="9"/>
  <c r="LH40" i="9"/>
  <c r="LG40" i="9"/>
  <c r="LF40" i="9"/>
  <c r="LE40" i="9"/>
  <c r="LD40" i="9"/>
  <c r="LC40" i="9"/>
  <c r="LB40" i="9"/>
  <c r="LA40" i="9"/>
  <c r="KZ40" i="9"/>
  <c r="KY40" i="9"/>
  <c r="KX40" i="9"/>
  <c r="KV40" i="9"/>
  <c r="KU40" i="9"/>
  <c r="KT40" i="9"/>
  <c r="KS40" i="9"/>
  <c r="KR40" i="9"/>
  <c r="KQ40" i="9"/>
  <c r="KP40" i="9"/>
  <c r="KO40" i="9"/>
  <c r="KN40" i="9"/>
  <c r="KM40" i="9"/>
  <c r="KL40" i="9"/>
  <c r="KK40" i="9"/>
  <c r="KI40" i="9"/>
  <c r="KH40" i="9"/>
  <c r="KG40" i="9"/>
  <c r="KF40" i="9"/>
  <c r="KE40" i="9"/>
  <c r="KD40" i="9"/>
  <c r="KC40" i="9"/>
  <c r="KB40" i="9"/>
  <c r="KA40" i="9"/>
  <c r="JZ40" i="9"/>
  <c r="JY40" i="9"/>
  <c r="JX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J42" i="9" s="1"/>
  <c r="JH40" i="9"/>
  <c r="JG40" i="9"/>
  <c r="JF40" i="9"/>
  <c r="JE40" i="9"/>
  <c r="JD40" i="9"/>
  <c r="JC40" i="9"/>
  <c r="JB40" i="9"/>
  <c r="JA40" i="9"/>
  <c r="IZ40" i="9"/>
  <c r="IY40" i="9"/>
  <c r="IX40" i="9"/>
  <c r="IW40" i="9"/>
  <c r="IW42" i="9" s="1"/>
  <c r="IU40" i="9"/>
  <c r="IT40" i="9"/>
  <c r="IS40" i="9"/>
  <c r="IR40" i="9"/>
  <c r="IQ40" i="9"/>
  <c r="IP40" i="9"/>
  <c r="IO40" i="9"/>
  <c r="IN40" i="9"/>
  <c r="IM40" i="9"/>
  <c r="IL40" i="9"/>
  <c r="IK40" i="9"/>
  <c r="IJ40" i="9"/>
  <c r="IJ42" i="9" s="1"/>
  <c r="IG40" i="9"/>
  <c r="IF40" i="9"/>
  <c r="IE40" i="9"/>
  <c r="ID40" i="9"/>
  <c r="IC40" i="9"/>
  <c r="IB40" i="9"/>
  <c r="IA40" i="9"/>
  <c r="HZ40" i="9"/>
  <c r="HY40" i="9"/>
  <c r="HX40" i="9"/>
  <c r="HW40" i="9"/>
  <c r="HV40" i="9"/>
  <c r="HT40" i="9"/>
  <c r="HS40" i="9"/>
  <c r="HR40" i="9"/>
  <c r="HQ40" i="9"/>
  <c r="HP40" i="9"/>
  <c r="HO40" i="9"/>
  <c r="HN40" i="9"/>
  <c r="HM40" i="9"/>
  <c r="HL40" i="9"/>
  <c r="HK40" i="9"/>
  <c r="HJ40" i="9"/>
  <c r="HI40" i="9"/>
  <c r="HG40" i="9"/>
  <c r="HF40" i="9"/>
  <c r="HE40" i="9"/>
  <c r="HD40" i="9"/>
  <c r="HC40" i="9"/>
  <c r="HB40" i="9"/>
  <c r="HA40" i="9"/>
  <c r="GZ40" i="9"/>
  <c r="GY40" i="9"/>
  <c r="GX40" i="9"/>
  <c r="GW40" i="9"/>
  <c r="GV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F40" i="9"/>
  <c r="GE40" i="9"/>
  <c r="GD40" i="9"/>
  <c r="GC40" i="9"/>
  <c r="GB40" i="9"/>
  <c r="GA40" i="9"/>
  <c r="FZ40" i="9"/>
  <c r="FY40" i="9"/>
  <c r="FX40" i="9"/>
  <c r="FW40" i="9"/>
  <c r="FV40" i="9"/>
  <c r="FU40" i="9"/>
  <c r="FS40" i="9"/>
  <c r="FR40" i="9"/>
  <c r="FQ40" i="9"/>
  <c r="FP40" i="9"/>
  <c r="FO40" i="9"/>
  <c r="FN40" i="9"/>
  <c r="FM40" i="9"/>
  <c r="FL40" i="9"/>
  <c r="FK40" i="9"/>
  <c r="FJ40" i="9"/>
  <c r="FI40" i="9"/>
  <c r="FH40" i="9"/>
  <c r="FE40" i="9"/>
  <c r="FD40" i="9"/>
  <c r="FC40" i="9"/>
  <c r="FB40" i="9"/>
  <c r="FA40" i="9"/>
  <c r="EZ40" i="9"/>
  <c r="EY40" i="9"/>
  <c r="EX40" i="9"/>
  <c r="EW40" i="9"/>
  <c r="EV40" i="9"/>
  <c r="EU40" i="9"/>
  <c r="ET40" i="9"/>
  <c r="ER40" i="9"/>
  <c r="EQ40" i="9"/>
  <c r="EP40" i="9"/>
  <c r="EO40" i="9"/>
  <c r="EN40" i="9"/>
  <c r="EM40" i="9"/>
  <c r="EL40" i="9"/>
  <c r="EK40" i="9"/>
  <c r="EJ40" i="9"/>
  <c r="EI40" i="9"/>
  <c r="EH40" i="9"/>
  <c r="EG40" i="9"/>
  <c r="EE40" i="9"/>
  <c r="ED40" i="9"/>
  <c r="EC40" i="9"/>
  <c r="EB40" i="9"/>
  <c r="EA40" i="9"/>
  <c r="DZ40" i="9"/>
  <c r="DY40" i="9"/>
  <c r="DX40" i="9"/>
  <c r="DW40" i="9"/>
  <c r="DV40" i="9"/>
  <c r="DU40" i="9"/>
  <c r="DT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D40" i="9"/>
  <c r="DC40" i="9"/>
  <c r="DB40" i="9"/>
  <c r="DA40" i="9"/>
  <c r="CZ40" i="9"/>
  <c r="CY40" i="9"/>
  <c r="CX40" i="9"/>
  <c r="CW40" i="9"/>
  <c r="CV40" i="9"/>
  <c r="CU40" i="9"/>
  <c r="CT40" i="9"/>
  <c r="CS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B40" i="9"/>
  <c r="AA40" i="9"/>
  <c r="Z40" i="9"/>
  <c r="Y40" i="9"/>
  <c r="X40" i="9"/>
  <c r="W40" i="9"/>
  <c r="V40" i="9"/>
  <c r="U40" i="9"/>
  <c r="T40" i="9"/>
  <c r="S40" i="9"/>
  <c r="R40" i="9"/>
  <c r="Q40" i="9"/>
  <c r="O40" i="9"/>
  <c r="N40" i="9"/>
  <c r="M40" i="9"/>
  <c r="L40" i="9"/>
  <c r="K40" i="9"/>
  <c r="J40" i="9"/>
  <c r="I40" i="9"/>
  <c r="H40" i="9"/>
  <c r="G40" i="9"/>
  <c r="F40" i="9"/>
  <c r="E40" i="9"/>
  <c r="D40" i="9"/>
  <c r="OL39" i="9"/>
  <c r="NY39" i="9"/>
  <c r="NL39" i="9"/>
  <c r="MX39" i="9"/>
  <c r="MK39" i="9"/>
  <c r="LX39" i="9"/>
  <c r="LJ39" i="9"/>
  <c r="KW39" i="9"/>
  <c r="KJ39" i="9"/>
  <c r="JV39" i="9"/>
  <c r="JI39" i="9"/>
  <c r="IV39" i="9"/>
  <c r="IH39" i="9"/>
  <c r="HU39" i="9"/>
  <c r="HH39" i="9"/>
  <c r="GT39" i="9"/>
  <c r="GG39" i="9"/>
  <c r="FT39" i="9"/>
  <c r="FF39" i="9"/>
  <c r="ES39" i="9"/>
  <c r="EF39" i="9"/>
  <c r="DR39" i="9"/>
  <c r="DE39" i="9"/>
  <c r="CR39" i="9"/>
  <c r="CD39" i="9"/>
  <c r="BQ39" i="9"/>
  <c r="BD39" i="9"/>
  <c r="AP39" i="9"/>
  <c r="AC39" i="9"/>
  <c r="P39" i="9"/>
  <c r="OL38" i="9"/>
  <c r="NY38" i="9"/>
  <c r="NL38" i="9"/>
  <c r="MX38" i="9"/>
  <c r="MK38" i="9"/>
  <c r="LX38" i="9"/>
  <c r="LJ38" i="9"/>
  <c r="KW38" i="9"/>
  <c r="KJ38" i="9"/>
  <c r="JV38" i="9"/>
  <c r="JI38" i="9"/>
  <c r="IV38" i="9"/>
  <c r="IH38" i="9"/>
  <c r="HU38" i="9"/>
  <c r="HH38" i="9"/>
  <c r="GT38" i="9"/>
  <c r="GG38" i="9"/>
  <c r="FT38" i="9"/>
  <c r="FF38" i="9"/>
  <c r="ES38" i="9"/>
  <c r="EF38" i="9"/>
  <c r="DR38" i="9"/>
  <c r="DE38" i="9"/>
  <c r="CR38" i="9"/>
  <c r="CD38" i="9"/>
  <c r="BQ38" i="9"/>
  <c r="BD38" i="9"/>
  <c r="AP38" i="9"/>
  <c r="AC38" i="9"/>
  <c r="P38" i="9"/>
  <c r="OL37" i="9"/>
  <c r="NY37" i="9"/>
  <c r="NL37" i="9"/>
  <c r="MX37" i="9"/>
  <c r="MK37" i="9"/>
  <c r="LX37" i="9"/>
  <c r="LJ37" i="9"/>
  <c r="KW37" i="9"/>
  <c r="KJ37" i="9"/>
  <c r="JV37" i="9"/>
  <c r="JI37" i="9"/>
  <c r="IV37" i="9"/>
  <c r="IH37" i="9"/>
  <c r="HU37" i="9"/>
  <c r="HH37" i="9"/>
  <c r="GT37" i="9"/>
  <c r="GG37" i="9"/>
  <c r="FT37" i="9"/>
  <c r="FF37" i="9"/>
  <c r="ES37" i="9"/>
  <c r="EF37" i="9"/>
  <c r="DR37" i="9"/>
  <c r="DE37" i="9"/>
  <c r="CR37" i="9"/>
  <c r="CD37" i="9"/>
  <c r="BQ37" i="9"/>
  <c r="BD37" i="9"/>
  <c r="AP37" i="9"/>
  <c r="AC37" i="9"/>
  <c r="P37" i="9"/>
  <c r="OL36" i="9"/>
  <c r="NY36" i="9"/>
  <c r="NL36" i="9"/>
  <c r="MX36" i="9"/>
  <c r="MK36" i="9"/>
  <c r="LX36" i="9"/>
  <c r="LJ36" i="9"/>
  <c r="KW36" i="9"/>
  <c r="KJ36" i="9"/>
  <c r="JV36" i="9"/>
  <c r="JI36" i="9"/>
  <c r="IV36" i="9"/>
  <c r="IH36" i="9"/>
  <c r="HU36" i="9"/>
  <c r="HH36" i="9"/>
  <c r="GT36" i="9"/>
  <c r="GG36" i="9"/>
  <c r="FT36" i="9"/>
  <c r="FF36" i="9"/>
  <c r="ES36" i="9"/>
  <c r="EF36" i="9"/>
  <c r="DR36" i="9"/>
  <c r="DE36" i="9"/>
  <c r="CR36" i="9"/>
  <c r="CD36" i="9"/>
  <c r="BQ36" i="9"/>
  <c r="BD36" i="9"/>
  <c r="AP36" i="9"/>
  <c r="AC36" i="9"/>
  <c r="P36" i="9"/>
  <c r="OL35" i="9"/>
  <c r="NY35" i="9"/>
  <c r="NL35" i="9"/>
  <c r="MX35" i="9"/>
  <c r="MK35" i="9"/>
  <c r="LX35" i="9"/>
  <c r="LJ35" i="9"/>
  <c r="KW35" i="9"/>
  <c r="KJ35" i="9"/>
  <c r="JV35" i="9"/>
  <c r="JI35" i="9"/>
  <c r="IV35" i="9"/>
  <c r="IH35" i="9"/>
  <c r="HU35" i="9"/>
  <c r="HH35" i="9"/>
  <c r="GT35" i="9"/>
  <c r="GG35" i="9"/>
  <c r="FT35" i="9"/>
  <c r="FF35" i="9"/>
  <c r="ES35" i="9"/>
  <c r="EF35" i="9"/>
  <c r="DR35" i="9"/>
  <c r="DE35" i="9"/>
  <c r="CR35" i="9"/>
  <c r="CD35" i="9"/>
  <c r="BQ35" i="9"/>
  <c r="BD35" i="9"/>
  <c r="AP35" i="9"/>
  <c r="AC35" i="9"/>
  <c r="P35" i="9"/>
  <c r="OL34" i="9"/>
  <c r="NY34" i="9"/>
  <c r="NL34" i="9"/>
  <c r="MX34" i="9"/>
  <c r="MK34" i="9"/>
  <c r="LX34" i="9"/>
  <c r="LJ34" i="9"/>
  <c r="KW34" i="9"/>
  <c r="KJ34" i="9"/>
  <c r="JV34" i="9"/>
  <c r="JI34" i="9"/>
  <c r="IV34" i="9"/>
  <c r="IH34" i="9"/>
  <c r="HU34" i="9"/>
  <c r="HH34" i="9"/>
  <c r="GT34" i="9"/>
  <c r="GG34" i="9"/>
  <c r="FT34" i="9"/>
  <c r="FF34" i="9"/>
  <c r="ES34" i="9"/>
  <c r="EF34" i="9"/>
  <c r="DR34" i="9"/>
  <c r="DE34" i="9"/>
  <c r="CR34" i="9"/>
  <c r="CD34" i="9"/>
  <c r="BQ34" i="9"/>
  <c r="BD34" i="9"/>
  <c r="AP34" i="9"/>
  <c r="AC34" i="9"/>
  <c r="P34" i="9"/>
  <c r="OL33" i="9"/>
  <c r="NY33" i="9"/>
  <c r="NL33" i="9"/>
  <c r="MX33" i="9"/>
  <c r="MK33" i="9"/>
  <c r="LX33" i="9"/>
  <c r="LJ33" i="9"/>
  <c r="KW33" i="9"/>
  <c r="KJ33" i="9"/>
  <c r="JV33" i="9"/>
  <c r="JI33" i="9"/>
  <c r="IV33" i="9"/>
  <c r="IH33" i="9"/>
  <c r="HU33" i="9"/>
  <c r="HH33" i="9"/>
  <c r="GT33" i="9"/>
  <c r="GG33" i="9"/>
  <c r="FT33" i="9"/>
  <c r="FF33" i="9"/>
  <c r="ES33" i="9"/>
  <c r="EF33" i="9"/>
  <c r="DR33" i="9"/>
  <c r="DE33" i="9"/>
  <c r="CR33" i="9"/>
  <c r="CD33" i="9"/>
  <c r="BQ33" i="9"/>
  <c r="BD33" i="9"/>
  <c r="AP33" i="9"/>
  <c r="AC33" i="9"/>
  <c r="P33" i="9"/>
  <c r="OL32" i="9"/>
  <c r="NY32" i="9"/>
  <c r="NL32" i="9"/>
  <c r="MX32" i="9"/>
  <c r="MK32" i="9"/>
  <c r="LX32" i="9"/>
  <c r="LJ32" i="9"/>
  <c r="KW32" i="9"/>
  <c r="KJ32" i="9"/>
  <c r="JV32" i="9"/>
  <c r="JI32" i="9"/>
  <c r="IV32" i="9"/>
  <c r="IH32" i="9"/>
  <c r="HU32" i="9"/>
  <c r="HH32" i="9"/>
  <c r="GT32" i="9"/>
  <c r="GG32" i="9"/>
  <c r="FT32" i="9"/>
  <c r="FF32" i="9"/>
  <c r="ES32" i="9"/>
  <c r="EF32" i="9"/>
  <c r="DR32" i="9"/>
  <c r="DE32" i="9"/>
  <c r="CR32" i="9"/>
  <c r="CD32" i="9"/>
  <c r="BQ32" i="9"/>
  <c r="BD32" i="9"/>
  <c r="AP32" i="9"/>
  <c r="AC32" i="9"/>
  <c r="P32" i="9"/>
  <c r="OL31" i="9"/>
  <c r="NY31" i="9"/>
  <c r="NL31" i="9"/>
  <c r="MX31" i="9"/>
  <c r="MK31" i="9"/>
  <c r="LX31" i="9"/>
  <c r="LJ31" i="9"/>
  <c r="KW31" i="9"/>
  <c r="KJ31" i="9"/>
  <c r="JV31" i="9"/>
  <c r="JI31" i="9"/>
  <c r="IV31" i="9"/>
  <c r="IH31" i="9"/>
  <c r="HU31" i="9"/>
  <c r="HH31" i="9"/>
  <c r="GT31" i="9"/>
  <c r="GG31" i="9"/>
  <c r="FT31" i="9"/>
  <c r="FF31" i="9"/>
  <c r="ES31" i="9"/>
  <c r="EF31" i="9"/>
  <c r="DR31" i="9"/>
  <c r="DE31" i="9"/>
  <c r="CR31" i="9"/>
  <c r="CD31" i="9"/>
  <c r="BQ31" i="9"/>
  <c r="BD31" i="9"/>
  <c r="AP31" i="9"/>
  <c r="AC31" i="9"/>
  <c r="P31" i="9"/>
  <c r="OL30" i="9"/>
  <c r="NY30" i="9"/>
  <c r="NL30" i="9"/>
  <c r="MX30" i="9"/>
  <c r="MK30" i="9"/>
  <c r="LX30" i="9"/>
  <c r="LJ30" i="9"/>
  <c r="KW30" i="9"/>
  <c r="KJ30" i="9"/>
  <c r="JV30" i="9"/>
  <c r="JI30" i="9"/>
  <c r="IV30" i="9"/>
  <c r="IH30" i="9"/>
  <c r="HU30" i="9"/>
  <c r="HH30" i="9"/>
  <c r="GT30" i="9"/>
  <c r="GG30" i="9"/>
  <c r="FT30" i="9"/>
  <c r="FF30" i="9"/>
  <c r="ES30" i="9"/>
  <c r="EF30" i="9"/>
  <c r="DR30" i="9"/>
  <c r="DE30" i="9"/>
  <c r="CR30" i="9"/>
  <c r="CD30" i="9"/>
  <c r="BQ30" i="9"/>
  <c r="BD30" i="9"/>
  <c r="AP30" i="9"/>
  <c r="AC30" i="9"/>
  <c r="P30" i="9"/>
  <c r="OL29" i="9"/>
  <c r="NY29" i="9"/>
  <c r="NL29" i="9"/>
  <c r="MX29" i="9"/>
  <c r="MK29" i="9"/>
  <c r="LX29" i="9"/>
  <c r="LJ29" i="9"/>
  <c r="KW29" i="9"/>
  <c r="KJ29" i="9"/>
  <c r="JV29" i="9"/>
  <c r="JI29" i="9"/>
  <c r="IV29" i="9"/>
  <c r="IH29" i="9"/>
  <c r="HU29" i="9"/>
  <c r="HH29" i="9"/>
  <c r="GT29" i="9"/>
  <c r="GG29" i="9"/>
  <c r="FT29" i="9"/>
  <c r="FF29" i="9"/>
  <c r="ES29" i="9"/>
  <c r="EF29" i="9"/>
  <c r="DR29" i="9"/>
  <c r="DE29" i="9"/>
  <c r="CR29" i="9"/>
  <c r="CD29" i="9"/>
  <c r="BQ29" i="9"/>
  <c r="BD29" i="9"/>
  <c r="AP29" i="9"/>
  <c r="AC29" i="9"/>
  <c r="P29" i="9"/>
  <c r="OL28" i="9"/>
  <c r="NY28" i="9"/>
  <c r="NL28" i="9"/>
  <c r="MX28" i="9"/>
  <c r="MK28" i="9"/>
  <c r="LX28" i="9"/>
  <c r="LJ28" i="9"/>
  <c r="KW28" i="9"/>
  <c r="KJ28" i="9"/>
  <c r="JV28" i="9"/>
  <c r="JI28" i="9"/>
  <c r="IV28" i="9"/>
  <c r="IH28" i="9"/>
  <c r="HU28" i="9"/>
  <c r="HH28" i="9"/>
  <c r="GT28" i="9"/>
  <c r="GG28" i="9"/>
  <c r="FT28" i="9"/>
  <c r="FF28" i="9"/>
  <c r="ES28" i="9"/>
  <c r="EF28" i="9"/>
  <c r="DR28" i="9"/>
  <c r="DE28" i="9"/>
  <c r="CR28" i="9"/>
  <c r="CD28" i="9"/>
  <c r="BQ28" i="9"/>
  <c r="BD28" i="9"/>
  <c r="AP28" i="9"/>
  <c r="AC28" i="9"/>
  <c r="P28" i="9"/>
  <c r="OL27" i="9"/>
  <c r="NY27" i="9"/>
  <c r="NL27" i="9"/>
  <c r="MX27" i="9"/>
  <c r="MK27" i="9"/>
  <c r="LX27" i="9"/>
  <c r="LJ27" i="9"/>
  <c r="KW27" i="9"/>
  <c r="KJ27" i="9"/>
  <c r="JV27" i="9"/>
  <c r="JI27" i="9"/>
  <c r="IV27" i="9"/>
  <c r="IH27" i="9"/>
  <c r="HU27" i="9"/>
  <c r="HH27" i="9"/>
  <c r="GT27" i="9"/>
  <c r="GG27" i="9"/>
  <c r="FT27" i="9"/>
  <c r="FF27" i="9"/>
  <c r="ES27" i="9"/>
  <c r="EF27" i="9"/>
  <c r="DR27" i="9"/>
  <c r="DE27" i="9"/>
  <c r="CR27" i="9"/>
  <c r="CD27" i="9"/>
  <c r="BQ27" i="9"/>
  <c r="BD27" i="9"/>
  <c r="AP27" i="9"/>
  <c r="AC27" i="9"/>
  <c r="P27" i="9"/>
  <c r="OL26" i="9"/>
  <c r="NY26" i="9"/>
  <c r="NL26" i="9"/>
  <c r="MX26" i="9"/>
  <c r="MK26" i="9"/>
  <c r="LX26" i="9"/>
  <c r="LJ26" i="9"/>
  <c r="KW26" i="9"/>
  <c r="KJ26" i="9"/>
  <c r="JV26" i="9"/>
  <c r="JI26" i="9"/>
  <c r="IV26" i="9"/>
  <c r="IH26" i="9"/>
  <c r="HU26" i="9"/>
  <c r="HH26" i="9"/>
  <c r="GT26" i="9"/>
  <c r="GG26" i="9"/>
  <c r="FT26" i="9"/>
  <c r="FF26" i="9"/>
  <c r="ES26" i="9"/>
  <c r="EF26" i="9"/>
  <c r="DR26" i="9"/>
  <c r="DE26" i="9"/>
  <c r="CR26" i="9"/>
  <c r="CD26" i="9"/>
  <c r="BQ26" i="9"/>
  <c r="BD26" i="9"/>
  <c r="AP26" i="9"/>
  <c r="AC26" i="9"/>
  <c r="P26" i="9"/>
  <c r="OL25" i="9"/>
  <c r="NY25" i="9"/>
  <c r="NL25" i="9"/>
  <c r="MX25" i="9"/>
  <c r="MK25" i="9"/>
  <c r="LX25" i="9"/>
  <c r="LJ25" i="9"/>
  <c r="KW25" i="9"/>
  <c r="KJ25" i="9"/>
  <c r="JV25" i="9"/>
  <c r="JI25" i="9"/>
  <c r="IV25" i="9"/>
  <c r="IH25" i="9"/>
  <c r="HU25" i="9"/>
  <c r="HH25" i="9"/>
  <c r="GT25" i="9"/>
  <c r="GG25" i="9"/>
  <c r="FT25" i="9"/>
  <c r="FF25" i="9"/>
  <c r="ES25" i="9"/>
  <c r="EF25" i="9"/>
  <c r="DR25" i="9"/>
  <c r="DE25" i="9"/>
  <c r="CR25" i="9"/>
  <c r="CD25" i="9"/>
  <c r="BQ25" i="9"/>
  <c r="BD25" i="9"/>
  <c r="AP25" i="9"/>
  <c r="AC25" i="9"/>
  <c r="P25" i="9"/>
  <c r="OL24" i="9"/>
  <c r="NY24" i="9"/>
  <c r="NL24" i="9"/>
  <c r="MX24" i="9"/>
  <c r="MK24" i="9"/>
  <c r="LX24" i="9"/>
  <c r="LJ24" i="9"/>
  <c r="KW24" i="9"/>
  <c r="KJ24" i="9"/>
  <c r="JV24" i="9"/>
  <c r="JI24" i="9"/>
  <c r="IV24" i="9"/>
  <c r="IH24" i="9"/>
  <c r="HU24" i="9"/>
  <c r="HH24" i="9"/>
  <c r="GT24" i="9"/>
  <c r="GG24" i="9"/>
  <c r="FT24" i="9"/>
  <c r="FF24" i="9"/>
  <c r="ES24" i="9"/>
  <c r="EF24" i="9"/>
  <c r="DR24" i="9"/>
  <c r="DE24" i="9"/>
  <c r="CR24" i="9"/>
  <c r="CD24" i="9"/>
  <c r="BQ24" i="9"/>
  <c r="BD24" i="9"/>
  <c r="AP24" i="9"/>
  <c r="AC24" i="9"/>
  <c r="P24" i="9"/>
  <c r="OL23" i="9"/>
  <c r="NY23" i="9"/>
  <c r="NL23" i="9"/>
  <c r="MX23" i="9"/>
  <c r="MK23" i="9"/>
  <c r="LX23" i="9"/>
  <c r="LJ23" i="9"/>
  <c r="KW23" i="9"/>
  <c r="KJ23" i="9"/>
  <c r="JV23" i="9"/>
  <c r="JI23" i="9"/>
  <c r="IV23" i="9"/>
  <c r="IH23" i="9"/>
  <c r="HU23" i="9"/>
  <c r="HH23" i="9"/>
  <c r="GT23" i="9"/>
  <c r="GG23" i="9"/>
  <c r="FT23" i="9"/>
  <c r="FF23" i="9"/>
  <c r="ES23" i="9"/>
  <c r="EF23" i="9"/>
  <c r="DR23" i="9"/>
  <c r="DE23" i="9"/>
  <c r="CR23" i="9"/>
  <c r="CD23" i="9"/>
  <c r="BQ23" i="9"/>
  <c r="BD23" i="9"/>
  <c r="AP23" i="9"/>
  <c r="AC23" i="9"/>
  <c r="P23" i="9"/>
  <c r="OL22" i="9"/>
  <c r="NY22" i="9"/>
  <c r="NL22" i="9"/>
  <c r="MX22" i="9"/>
  <c r="MK22" i="9"/>
  <c r="LX22" i="9"/>
  <c r="LJ22" i="9"/>
  <c r="KW22" i="9"/>
  <c r="KJ22" i="9"/>
  <c r="JV22" i="9"/>
  <c r="JI22" i="9"/>
  <c r="IV22" i="9"/>
  <c r="IH22" i="9"/>
  <c r="HU22" i="9"/>
  <c r="HH22" i="9"/>
  <c r="GT22" i="9"/>
  <c r="GG22" i="9"/>
  <c r="FT22" i="9"/>
  <c r="FF22" i="9"/>
  <c r="ES22" i="9"/>
  <c r="EF22" i="9"/>
  <c r="DR22" i="9"/>
  <c r="DE22" i="9"/>
  <c r="CR22" i="9"/>
  <c r="CD22" i="9"/>
  <c r="BQ22" i="9"/>
  <c r="BD22" i="9"/>
  <c r="AP22" i="9"/>
  <c r="AC22" i="9"/>
  <c r="P22" i="9"/>
  <c r="OL21" i="9"/>
  <c r="NY21" i="9"/>
  <c r="NL21" i="9"/>
  <c r="MX21" i="9"/>
  <c r="MK21" i="9"/>
  <c r="LX21" i="9"/>
  <c r="LJ21" i="9"/>
  <c r="KW21" i="9"/>
  <c r="KJ21" i="9"/>
  <c r="JV21" i="9"/>
  <c r="JI21" i="9"/>
  <c r="IV21" i="9"/>
  <c r="IH21" i="9"/>
  <c r="HU21" i="9"/>
  <c r="HH21" i="9"/>
  <c r="GT21" i="9"/>
  <c r="GG21" i="9"/>
  <c r="FT21" i="9"/>
  <c r="FF21" i="9"/>
  <c r="ES21" i="9"/>
  <c r="EF21" i="9"/>
  <c r="DR21" i="9"/>
  <c r="DE21" i="9"/>
  <c r="CR21" i="9"/>
  <c r="CD21" i="9"/>
  <c r="BQ21" i="9"/>
  <c r="BD21" i="9"/>
  <c r="AP21" i="9"/>
  <c r="AC21" i="9"/>
  <c r="P21" i="9"/>
  <c r="OL20" i="9"/>
  <c r="NY20" i="9"/>
  <c r="NL20" i="9"/>
  <c r="MX20" i="9"/>
  <c r="MK20" i="9"/>
  <c r="LX20" i="9"/>
  <c r="LJ20" i="9"/>
  <c r="KW20" i="9"/>
  <c r="KJ20" i="9"/>
  <c r="JV20" i="9"/>
  <c r="JI20" i="9"/>
  <c r="IV20" i="9"/>
  <c r="IH20" i="9"/>
  <c r="HU20" i="9"/>
  <c r="HH20" i="9"/>
  <c r="GT20" i="9"/>
  <c r="GG20" i="9"/>
  <c r="FT20" i="9"/>
  <c r="FF20" i="9"/>
  <c r="ES20" i="9"/>
  <c r="EF20" i="9"/>
  <c r="DR20" i="9"/>
  <c r="DE20" i="9"/>
  <c r="CR20" i="9"/>
  <c r="CD20" i="9"/>
  <c r="BQ20" i="9"/>
  <c r="BD20" i="9"/>
  <c r="AP20" i="9"/>
  <c r="AC20" i="9"/>
  <c r="P20" i="9"/>
  <c r="OL19" i="9"/>
  <c r="NY19" i="9"/>
  <c r="NL19" i="9"/>
  <c r="MX19" i="9"/>
  <c r="MK19" i="9"/>
  <c r="LX19" i="9"/>
  <c r="LJ19" i="9"/>
  <c r="KW19" i="9"/>
  <c r="KJ19" i="9"/>
  <c r="JV19" i="9"/>
  <c r="JI19" i="9"/>
  <c r="IV19" i="9"/>
  <c r="IH19" i="9"/>
  <c r="HU19" i="9"/>
  <c r="HH19" i="9"/>
  <c r="GT19" i="9"/>
  <c r="GG19" i="9"/>
  <c r="FT19" i="9"/>
  <c r="FF19" i="9"/>
  <c r="ES19" i="9"/>
  <c r="EF19" i="9"/>
  <c r="DR19" i="9"/>
  <c r="DE19" i="9"/>
  <c r="CR19" i="9"/>
  <c r="CD19" i="9"/>
  <c r="BQ19" i="9"/>
  <c r="BD19" i="9"/>
  <c r="AP19" i="9"/>
  <c r="AC19" i="9"/>
  <c r="P19" i="9"/>
  <c r="OL18" i="9"/>
  <c r="NY18" i="9"/>
  <c r="NL18" i="9"/>
  <c r="MX18" i="9"/>
  <c r="MK18" i="9"/>
  <c r="LX18" i="9"/>
  <c r="LJ18" i="9"/>
  <c r="KW18" i="9"/>
  <c r="KJ18" i="9"/>
  <c r="JV18" i="9"/>
  <c r="JI18" i="9"/>
  <c r="IV18" i="9"/>
  <c r="IH18" i="9"/>
  <c r="HU18" i="9"/>
  <c r="HH18" i="9"/>
  <c r="GT18" i="9"/>
  <c r="GG18" i="9"/>
  <c r="FT18" i="9"/>
  <c r="FF18" i="9"/>
  <c r="ES18" i="9"/>
  <c r="EF18" i="9"/>
  <c r="DR18" i="9"/>
  <c r="DE18" i="9"/>
  <c r="CR18" i="9"/>
  <c r="CD18" i="9"/>
  <c r="BQ18" i="9"/>
  <c r="BD18" i="9"/>
  <c r="AP18" i="9"/>
  <c r="AC18" i="9"/>
  <c r="P18" i="9"/>
  <c r="OL17" i="9"/>
  <c r="NY17" i="9"/>
  <c r="NL17" i="9"/>
  <c r="MX17" i="9"/>
  <c r="MK17" i="9"/>
  <c r="LX17" i="9"/>
  <c r="LJ17" i="9"/>
  <c r="KW17" i="9"/>
  <c r="KJ17" i="9"/>
  <c r="JV17" i="9"/>
  <c r="JI17" i="9"/>
  <c r="IV17" i="9"/>
  <c r="IH17" i="9"/>
  <c r="HU17" i="9"/>
  <c r="HH17" i="9"/>
  <c r="GT17" i="9"/>
  <c r="GG17" i="9"/>
  <c r="FT17" i="9"/>
  <c r="FF17" i="9"/>
  <c r="ES17" i="9"/>
  <c r="EF17" i="9"/>
  <c r="DR17" i="9"/>
  <c r="DE17" i="9"/>
  <c r="CR17" i="9"/>
  <c r="CD17" i="9"/>
  <c r="BQ17" i="9"/>
  <c r="BD17" i="9"/>
  <c r="AP17" i="9"/>
  <c r="AC17" i="9"/>
  <c r="P17" i="9"/>
  <c r="OL16" i="9"/>
  <c r="NY16" i="9"/>
  <c r="NL16" i="9"/>
  <c r="MX16" i="9"/>
  <c r="MK16" i="9"/>
  <c r="LX16" i="9"/>
  <c r="LJ16" i="9"/>
  <c r="KW16" i="9"/>
  <c r="KJ16" i="9"/>
  <c r="JV16" i="9"/>
  <c r="JI16" i="9"/>
  <c r="IV16" i="9"/>
  <c r="IH16" i="9"/>
  <c r="HU16" i="9"/>
  <c r="HH16" i="9"/>
  <c r="GT16" i="9"/>
  <c r="GG16" i="9"/>
  <c r="FT16" i="9"/>
  <c r="FF16" i="9"/>
  <c r="ES16" i="9"/>
  <c r="EF16" i="9"/>
  <c r="DR16" i="9"/>
  <c r="DE16" i="9"/>
  <c r="CR16" i="9"/>
  <c r="CD16" i="9"/>
  <c r="BQ16" i="9"/>
  <c r="BD16" i="9"/>
  <c r="AP16" i="9"/>
  <c r="AC16" i="9"/>
  <c r="P16" i="9"/>
  <c r="OL15" i="9"/>
  <c r="NY15" i="9"/>
  <c r="NL15" i="9"/>
  <c r="MX15" i="9"/>
  <c r="MK15" i="9"/>
  <c r="LX15" i="9"/>
  <c r="LJ15" i="9"/>
  <c r="KW15" i="9"/>
  <c r="KJ15" i="9"/>
  <c r="JV15" i="9"/>
  <c r="JI15" i="9"/>
  <c r="IV15" i="9"/>
  <c r="IH15" i="9"/>
  <c r="HU15" i="9"/>
  <c r="HH15" i="9"/>
  <c r="GT15" i="9"/>
  <c r="GG15" i="9"/>
  <c r="FT15" i="9"/>
  <c r="FF15" i="9"/>
  <c r="ES15" i="9"/>
  <c r="EF15" i="9"/>
  <c r="DR15" i="9"/>
  <c r="DE15" i="9"/>
  <c r="CR15" i="9"/>
  <c r="CD15" i="9"/>
  <c r="BQ15" i="9"/>
  <c r="BD15" i="9"/>
  <c r="AP15" i="9"/>
  <c r="AC15" i="9"/>
  <c r="P15" i="9"/>
  <c r="OL14" i="9"/>
  <c r="NY14" i="9"/>
  <c r="NL14" i="9"/>
  <c r="MX14" i="9"/>
  <c r="MK14" i="9"/>
  <c r="LX14" i="9"/>
  <c r="LJ14" i="9"/>
  <c r="KW14" i="9"/>
  <c r="KJ14" i="9"/>
  <c r="JV14" i="9"/>
  <c r="JI14" i="9"/>
  <c r="IV14" i="9"/>
  <c r="IH14" i="9"/>
  <c r="HU14" i="9"/>
  <c r="HH14" i="9"/>
  <c r="GT14" i="9"/>
  <c r="GG14" i="9"/>
  <c r="FT14" i="9"/>
  <c r="FF14" i="9"/>
  <c r="ES14" i="9"/>
  <c r="EF14" i="9"/>
  <c r="DR14" i="9"/>
  <c r="DE14" i="9"/>
  <c r="CR14" i="9"/>
  <c r="CD14" i="9"/>
  <c r="BQ14" i="9"/>
  <c r="BD14" i="9"/>
  <c r="AP14" i="9"/>
  <c r="AC14" i="9"/>
  <c r="P14" i="9"/>
  <c r="OL13" i="9"/>
  <c r="NY13" i="9"/>
  <c r="NL13" i="9"/>
  <c r="MX13" i="9"/>
  <c r="MK13" i="9"/>
  <c r="LX13" i="9"/>
  <c r="LJ13" i="9"/>
  <c r="KW13" i="9"/>
  <c r="KJ13" i="9"/>
  <c r="JV13" i="9"/>
  <c r="JI13" i="9"/>
  <c r="IV13" i="9"/>
  <c r="IH13" i="9"/>
  <c r="HU13" i="9"/>
  <c r="HH13" i="9"/>
  <c r="GT13" i="9"/>
  <c r="GG13" i="9"/>
  <c r="FT13" i="9"/>
  <c r="FF13" i="9"/>
  <c r="ES13" i="9"/>
  <c r="EF13" i="9"/>
  <c r="DR13" i="9"/>
  <c r="DE13" i="9"/>
  <c r="CR13" i="9"/>
  <c r="CD13" i="9"/>
  <c r="BQ13" i="9"/>
  <c r="BD13" i="9"/>
  <c r="AP13" i="9"/>
  <c r="AC13" i="9"/>
  <c r="P13" i="9"/>
  <c r="OL12" i="9"/>
  <c r="NY12" i="9"/>
  <c r="NL12" i="9"/>
  <c r="MX12" i="9"/>
  <c r="MK12" i="9"/>
  <c r="LX12" i="9"/>
  <c r="LJ12" i="9"/>
  <c r="KW12" i="9"/>
  <c r="KJ12" i="9"/>
  <c r="JV12" i="9"/>
  <c r="JI12" i="9"/>
  <c r="IV12" i="9"/>
  <c r="IH12" i="9"/>
  <c r="HU12" i="9"/>
  <c r="HH12" i="9"/>
  <c r="GT12" i="9"/>
  <c r="GG12" i="9"/>
  <c r="FT12" i="9"/>
  <c r="FF12" i="9"/>
  <c r="ES12" i="9"/>
  <c r="EF12" i="9"/>
  <c r="DR12" i="9"/>
  <c r="DE12" i="9"/>
  <c r="CR12" i="9"/>
  <c r="CD12" i="9"/>
  <c r="BQ12" i="9"/>
  <c r="BD12" i="9"/>
  <c r="AP12" i="9"/>
  <c r="AC12" i="9"/>
  <c r="P12" i="9"/>
  <c r="OL11" i="9"/>
  <c r="NY11" i="9"/>
  <c r="NL11" i="9"/>
  <c r="MX11" i="9"/>
  <c r="MK11" i="9"/>
  <c r="LX11" i="9"/>
  <c r="LJ11" i="9"/>
  <c r="KW11" i="9"/>
  <c r="KJ11" i="9"/>
  <c r="JV11" i="9"/>
  <c r="JI11" i="9"/>
  <c r="IV11" i="9"/>
  <c r="IH11" i="9"/>
  <c r="HU11" i="9"/>
  <c r="HH11" i="9"/>
  <c r="GT11" i="9"/>
  <c r="GG11" i="9"/>
  <c r="FT11" i="9"/>
  <c r="FF11" i="9"/>
  <c r="ES11" i="9"/>
  <c r="EF11" i="9"/>
  <c r="DR11" i="9"/>
  <c r="DE11" i="9"/>
  <c r="CR11" i="9"/>
  <c r="CD11" i="9"/>
  <c r="BQ11" i="9"/>
  <c r="BD11" i="9"/>
  <c r="AP11" i="9"/>
  <c r="AC11" i="9"/>
  <c r="P11" i="9"/>
  <c r="OL10" i="9"/>
  <c r="NY10" i="9"/>
  <c r="NL10" i="9"/>
  <c r="MX10" i="9"/>
  <c r="MK10" i="9"/>
  <c r="LX10" i="9"/>
  <c r="LJ10" i="9"/>
  <c r="KW10" i="9"/>
  <c r="KJ10" i="9"/>
  <c r="JV10" i="9"/>
  <c r="JI10" i="9"/>
  <c r="IV10" i="9"/>
  <c r="IH10" i="9"/>
  <c r="HU10" i="9"/>
  <c r="HH10" i="9"/>
  <c r="GT10" i="9"/>
  <c r="GG10" i="9"/>
  <c r="FT10" i="9"/>
  <c r="FF10" i="9"/>
  <c r="ES10" i="9"/>
  <c r="EF10" i="9"/>
  <c r="DR10" i="9"/>
  <c r="DE10" i="9"/>
  <c r="CR10" i="9"/>
  <c r="CD10" i="9"/>
  <c r="BQ10" i="9"/>
  <c r="BD10" i="9"/>
  <c r="AP10" i="9"/>
  <c r="AC10" i="9"/>
  <c r="P10" i="9"/>
  <c r="OL9" i="9"/>
  <c r="NY9" i="9"/>
  <c r="NL9" i="9"/>
  <c r="MX9" i="9"/>
  <c r="MK9" i="9"/>
  <c r="LX9" i="9"/>
  <c r="LJ9" i="9"/>
  <c r="KW9" i="9"/>
  <c r="KJ9" i="9"/>
  <c r="JV9" i="9"/>
  <c r="JI9" i="9"/>
  <c r="IV9" i="9"/>
  <c r="IH9" i="9"/>
  <c r="HU9" i="9"/>
  <c r="HH9" i="9"/>
  <c r="GT9" i="9"/>
  <c r="GG9" i="9"/>
  <c r="FT9" i="9"/>
  <c r="FF9" i="9"/>
  <c r="ES9" i="9"/>
  <c r="EF9" i="9"/>
  <c r="DR9" i="9"/>
  <c r="DE9" i="9"/>
  <c r="CR9" i="9"/>
  <c r="CD9" i="9"/>
  <c r="BQ9" i="9"/>
  <c r="BD9" i="9"/>
  <c r="AP9" i="9"/>
  <c r="AC9" i="9"/>
  <c r="P9" i="9"/>
  <c r="OL8" i="9"/>
  <c r="NY8" i="9"/>
  <c r="NL8" i="9"/>
  <c r="MX8" i="9"/>
  <c r="MK8" i="9"/>
  <c r="LX8" i="9"/>
  <c r="LJ8" i="9"/>
  <c r="KW8" i="9"/>
  <c r="KJ8" i="9"/>
  <c r="JV8" i="9"/>
  <c r="JI8" i="9"/>
  <c r="IV8" i="9"/>
  <c r="IH8" i="9"/>
  <c r="HU8" i="9"/>
  <c r="HH8" i="9"/>
  <c r="GT8" i="9"/>
  <c r="GG8" i="9"/>
  <c r="FT8" i="9"/>
  <c r="FF8" i="9"/>
  <c r="ES8" i="9"/>
  <c r="EF8" i="9"/>
  <c r="DR8" i="9"/>
  <c r="DE8" i="9"/>
  <c r="CR8" i="9"/>
  <c r="CD8" i="9"/>
  <c r="BQ8" i="9"/>
  <c r="BD8" i="9"/>
  <c r="AP8" i="9"/>
  <c r="AC8" i="9"/>
  <c r="P8" i="9"/>
  <c r="OL7" i="9"/>
  <c r="NY7" i="9"/>
  <c r="NL7" i="9"/>
  <c r="MX7" i="9"/>
  <c r="MK7" i="9"/>
  <c r="LX7" i="9"/>
  <c r="LJ7" i="9"/>
  <c r="KW7" i="9"/>
  <c r="KJ7" i="9"/>
  <c r="JV7" i="9"/>
  <c r="JI7" i="9"/>
  <c r="IV7" i="9"/>
  <c r="IH7" i="9"/>
  <c r="HU7" i="9"/>
  <c r="HH7" i="9"/>
  <c r="GT7" i="9"/>
  <c r="GG7" i="9"/>
  <c r="FT7" i="9"/>
  <c r="FF7" i="9"/>
  <c r="ES7" i="9"/>
  <c r="EF7" i="9"/>
  <c r="DR7" i="9"/>
  <c r="DE7" i="9"/>
  <c r="CR7" i="9"/>
  <c r="CD7" i="9"/>
  <c r="BQ7" i="9"/>
  <c r="BD7" i="9"/>
  <c r="AP7" i="9"/>
  <c r="AC7" i="9"/>
  <c r="P7" i="9"/>
  <c r="OL6" i="9"/>
  <c r="NY6" i="9"/>
  <c r="NL6" i="9"/>
  <c r="MX6" i="9"/>
  <c r="MK6" i="9"/>
  <c r="LX6" i="9"/>
  <c r="LJ6" i="9"/>
  <c r="KW6" i="9"/>
  <c r="KJ6" i="9"/>
  <c r="JV6" i="9"/>
  <c r="JI6" i="9"/>
  <c r="IV6" i="9"/>
  <c r="IH6" i="9"/>
  <c r="HU6" i="9"/>
  <c r="HH6" i="9"/>
  <c r="GT6" i="9"/>
  <c r="GG6" i="9"/>
  <c r="FT6" i="9"/>
  <c r="FF6" i="9"/>
  <c r="ES6" i="9"/>
  <c r="EF6" i="9"/>
  <c r="DR6" i="9"/>
  <c r="DE6" i="9"/>
  <c r="CR6" i="9"/>
  <c r="CD6" i="9"/>
  <c r="BQ6" i="9"/>
  <c r="BD6" i="9"/>
  <c r="AP6" i="9"/>
  <c r="AC6" i="9"/>
  <c r="P6" i="9"/>
  <c r="AQ12" i="9" l="1"/>
  <c r="AQ20" i="9"/>
  <c r="AQ23" i="9"/>
  <c r="JW23" i="9"/>
  <c r="MY23" i="9"/>
  <c r="AQ25" i="9"/>
  <c r="JW25" i="9"/>
  <c r="MY25" i="9"/>
  <c r="AQ27" i="9"/>
  <c r="JW27" i="9"/>
  <c r="MY27" i="9"/>
  <c r="AQ29" i="9"/>
  <c r="JW29" i="9"/>
  <c r="MY29" i="9"/>
  <c r="AQ31" i="9"/>
  <c r="JW31" i="9"/>
  <c r="MY31" i="9"/>
  <c r="AQ33" i="9"/>
  <c r="JW33" i="9"/>
  <c r="MY33" i="9"/>
  <c r="AQ35" i="9"/>
  <c r="JW35" i="9"/>
  <c r="MY35" i="9"/>
  <c r="AQ37" i="9"/>
  <c r="DS37" i="9"/>
  <c r="GU37" i="9"/>
  <c r="JW37" i="9"/>
  <c r="MY37" i="9"/>
  <c r="AQ39" i="9"/>
  <c r="DS39" i="9"/>
  <c r="GU39" i="9"/>
  <c r="AHL40" i="9"/>
  <c r="AIL40" i="9"/>
  <c r="FG7" i="9"/>
  <c r="FG8" i="9"/>
  <c r="OM8" i="9"/>
  <c r="FG9" i="9"/>
  <c r="CE11" i="9"/>
  <c r="FG11" i="9"/>
  <c r="LK11" i="9"/>
  <c r="OM11" i="9"/>
  <c r="FG12" i="9"/>
  <c r="LK12" i="9"/>
  <c r="OM12" i="9"/>
  <c r="CE13" i="9"/>
  <c r="FG13" i="9"/>
  <c r="LK13" i="9"/>
  <c r="OM13" i="9"/>
  <c r="CE14" i="9"/>
  <c r="FG14" i="9"/>
  <c r="LK14" i="9"/>
  <c r="OM14" i="9"/>
  <c r="FG15" i="9"/>
  <c r="LK15" i="9"/>
  <c r="OM15" i="9"/>
  <c r="CE16" i="9"/>
  <c r="FG16" i="9"/>
  <c r="LK16" i="9"/>
  <c r="OM16" i="9"/>
  <c r="CE17" i="9"/>
  <c r="FG17" i="9"/>
  <c r="LK17" i="9"/>
  <c r="OM17" i="9"/>
  <c r="CE18" i="9"/>
  <c r="FG18" i="9"/>
  <c r="LK18" i="9"/>
  <c r="OM18" i="9"/>
  <c r="CE19" i="9"/>
  <c r="FG19" i="9"/>
  <c r="LK19" i="9"/>
  <c r="OM19" i="9"/>
  <c r="CE20" i="9"/>
  <c r="FG20" i="9"/>
  <c r="LK20" i="9"/>
  <c r="OM20" i="9"/>
  <c r="CE21" i="9"/>
  <c r="FG21" i="9"/>
  <c r="LK21" i="9"/>
  <c r="OM21" i="9"/>
  <c r="CE22" i="9"/>
  <c r="FG22" i="9"/>
  <c r="LK22" i="9"/>
  <c r="OM22" i="9"/>
  <c r="CE24" i="9"/>
  <c r="FG24" i="9"/>
  <c r="LK24" i="9"/>
  <c r="OM24" i="9"/>
  <c r="CE26" i="9"/>
  <c r="FG26" i="9"/>
  <c r="LK26" i="9"/>
  <c r="OM26" i="9"/>
  <c r="CE28" i="9"/>
  <c r="FG28" i="9"/>
  <c r="LK28" i="9"/>
  <c r="OM28" i="9"/>
  <c r="CE30" i="9"/>
  <c r="FG30" i="9"/>
  <c r="LK30" i="9"/>
  <c r="OM30" i="9"/>
  <c r="CE32" i="9"/>
  <c r="FG32" i="9"/>
  <c r="LK32" i="9"/>
  <c r="OM32" i="9"/>
  <c r="CE34" i="9"/>
  <c r="FG34" i="9"/>
  <c r="LK34" i="9"/>
  <c r="OM34" i="9"/>
  <c r="CE36" i="9"/>
  <c r="FG36" i="9"/>
  <c r="LK36" i="9"/>
  <c r="OM36" i="9"/>
  <c r="CE38" i="9"/>
  <c r="FG38" i="9"/>
  <c r="II38" i="9"/>
  <c r="LK38" i="9"/>
  <c r="OM38" i="9"/>
  <c r="LK39" i="9"/>
  <c r="OM39" i="9"/>
  <c r="AHY40" i="9"/>
  <c r="FG6" i="9"/>
  <c r="OM6" i="9"/>
  <c r="OM7" i="9"/>
  <c r="OM9" i="9"/>
  <c r="QA7" i="9"/>
  <c r="QA9" i="9"/>
  <c r="QA11" i="9"/>
  <c r="QA13" i="9"/>
  <c r="QA15" i="9"/>
  <c r="QA17" i="9"/>
  <c r="QA19" i="9"/>
  <c r="QA21" i="9"/>
  <c r="QA23" i="9"/>
  <c r="QA25" i="9"/>
  <c r="QA27" i="9"/>
  <c r="QA29" i="9"/>
  <c r="QA31" i="9"/>
  <c r="QA33" i="9"/>
  <c r="QA35" i="9"/>
  <c r="QA37" i="9"/>
  <c r="QA39" i="9"/>
  <c r="RO7" i="9"/>
  <c r="RO9" i="9"/>
  <c r="RO13" i="9"/>
  <c r="RO15" i="9"/>
  <c r="RO17" i="9"/>
  <c r="RO19" i="9"/>
  <c r="RO21" i="9"/>
  <c r="RO23" i="9"/>
  <c r="RO25" i="9"/>
  <c r="RO27" i="9"/>
  <c r="RO29" i="9"/>
  <c r="RO31" i="9"/>
  <c r="RO33" i="9"/>
  <c r="RO35" i="9"/>
  <c r="RO37" i="9"/>
  <c r="RO39" i="9"/>
  <c r="TC37" i="9"/>
  <c r="TC39" i="9"/>
  <c r="UQ7" i="9"/>
  <c r="UQ9" i="9"/>
  <c r="UQ11" i="9"/>
  <c r="UQ13" i="9"/>
  <c r="UQ15" i="9"/>
  <c r="UQ17" i="9"/>
  <c r="UQ19" i="9"/>
  <c r="UQ21" i="9"/>
  <c r="UQ23" i="9"/>
  <c r="UQ25" i="9"/>
  <c r="UQ27" i="9"/>
  <c r="UQ29" i="9"/>
  <c r="UQ31" i="9"/>
  <c r="UQ33" i="9"/>
  <c r="UQ35" i="9"/>
  <c r="UQ37" i="9"/>
  <c r="UQ39" i="9"/>
  <c r="WE7" i="9"/>
  <c r="WE9" i="9"/>
  <c r="WE11" i="9"/>
  <c r="WE13" i="9"/>
  <c r="WE15" i="9"/>
  <c r="WE17" i="9"/>
  <c r="WE19" i="9"/>
  <c r="WE21" i="9"/>
  <c r="WE23" i="9"/>
  <c r="WE25" i="9"/>
  <c r="WE27" i="9"/>
  <c r="WE29" i="9"/>
  <c r="WE31" i="9"/>
  <c r="AKA7" i="9"/>
  <c r="AKA9" i="9"/>
  <c r="AKA11" i="9"/>
  <c r="AKA13" i="9"/>
  <c r="AKA15" i="9"/>
  <c r="AKA17" i="9"/>
  <c r="AKA19" i="9"/>
  <c r="AKA21" i="9"/>
  <c r="AKA23" i="9"/>
  <c r="AKA25" i="9"/>
  <c r="AKA27" i="9"/>
  <c r="AKA29" i="9"/>
  <c r="AKA31" i="9"/>
  <c r="AKA33" i="9"/>
  <c r="AKA35" i="9"/>
  <c r="AKA37" i="9"/>
  <c r="AKA39" i="9"/>
  <c r="AFK6" i="9"/>
  <c r="AFK8" i="9"/>
  <c r="AFK10" i="9"/>
  <c r="AFK12" i="9"/>
  <c r="AFK14" i="9"/>
  <c r="AFK16" i="9"/>
  <c r="AFK18" i="9"/>
  <c r="AFK20" i="9"/>
  <c r="AFK22" i="9"/>
  <c r="AFK24" i="9"/>
  <c r="AFK26" i="9"/>
  <c r="AFK28" i="9"/>
  <c r="AFK30" i="9"/>
  <c r="AFK32" i="9"/>
  <c r="AFK34" i="9"/>
  <c r="ADW6" i="9"/>
  <c r="ADW8" i="9"/>
  <c r="ADW14" i="9"/>
  <c r="ADW16" i="9"/>
  <c r="ADW18" i="9"/>
  <c r="ADW20" i="9"/>
  <c r="ADW22" i="9"/>
  <c r="ADW24" i="9"/>
  <c r="ADW26" i="9"/>
  <c r="ADW28" i="9"/>
  <c r="ADW30" i="9"/>
  <c r="ADW32" i="9"/>
  <c r="ADW34" i="9"/>
  <c r="ADW36" i="9"/>
  <c r="ACI6" i="9"/>
  <c r="ACI8" i="9"/>
  <c r="ACI12" i="9"/>
  <c r="ACI14" i="9"/>
  <c r="ACI16" i="9"/>
  <c r="ACI18" i="9"/>
  <c r="ACI20" i="9"/>
  <c r="ACI22" i="9"/>
  <c r="ACI24" i="9"/>
  <c r="ACI26" i="9"/>
  <c r="ACI28" i="9"/>
  <c r="ACI30" i="9"/>
  <c r="ACI32" i="9"/>
  <c r="ACI34" i="9"/>
  <c r="ACI36" i="9"/>
  <c r="AAU6" i="9"/>
  <c r="AAU8" i="9"/>
  <c r="AAU12" i="9"/>
  <c r="AAU14" i="9"/>
  <c r="AAU16" i="9"/>
  <c r="AAU18" i="9"/>
  <c r="AAU20" i="9"/>
  <c r="AAU22" i="9"/>
  <c r="AAU24" i="9"/>
  <c r="AAU26" i="9"/>
  <c r="AAU28" i="9"/>
  <c r="AAU30" i="9"/>
  <c r="AAU32" i="9"/>
  <c r="AAU34" i="9"/>
  <c r="AAU36" i="9"/>
  <c r="ZG6" i="9"/>
  <c r="ZG8" i="9"/>
  <c r="ZG12" i="9"/>
  <c r="ZG14" i="9"/>
  <c r="ZG16" i="9"/>
  <c r="ZG18" i="9"/>
  <c r="ZG20" i="9"/>
  <c r="ZG22" i="9"/>
  <c r="ZG24" i="9"/>
  <c r="ZG26" i="9"/>
  <c r="ZG28" i="9"/>
  <c r="ZG30" i="9"/>
  <c r="ZG32" i="9"/>
  <c r="ZG34" i="9"/>
  <c r="ZG36" i="9"/>
  <c r="XS6" i="9"/>
  <c r="XS8" i="9"/>
  <c r="XS12" i="9"/>
  <c r="XS14" i="9"/>
  <c r="XS16" i="9"/>
  <c r="XS18" i="9"/>
  <c r="XS20" i="9"/>
  <c r="XS22" i="9"/>
  <c r="XS24" i="9"/>
  <c r="XS26" i="9"/>
  <c r="XS28" i="9"/>
  <c r="XS30" i="9"/>
  <c r="XS32" i="9"/>
  <c r="XS34" i="9"/>
  <c r="XS36" i="9"/>
  <c r="WE34" i="9"/>
  <c r="WE36" i="9"/>
  <c r="TC7" i="9"/>
  <c r="TC9" i="9"/>
  <c r="TC11" i="9"/>
  <c r="TC13" i="9"/>
  <c r="TC15" i="9"/>
  <c r="TC17" i="9"/>
  <c r="TC19" i="9"/>
  <c r="TC21" i="9"/>
  <c r="TC23" i="9"/>
  <c r="TC25" i="9"/>
  <c r="TC27" i="9"/>
  <c r="TC29" i="9"/>
  <c r="TC31" i="9"/>
  <c r="TC33" i="9"/>
  <c r="TC35" i="9"/>
  <c r="II15" i="9"/>
  <c r="II16" i="9"/>
  <c r="II17" i="9"/>
  <c r="II18" i="9"/>
  <c r="II19" i="9"/>
  <c r="II20" i="9"/>
  <c r="II21" i="9"/>
  <c r="II22" i="9"/>
  <c r="II24" i="9"/>
  <c r="II26" i="9"/>
  <c r="II28" i="9"/>
  <c r="II30" i="9"/>
  <c r="II32" i="9"/>
  <c r="II34" i="9"/>
  <c r="II36" i="9"/>
  <c r="GU23" i="9"/>
  <c r="GU25" i="9"/>
  <c r="GU27" i="9"/>
  <c r="GU29" i="9"/>
  <c r="GU31" i="9"/>
  <c r="GU33" i="9"/>
  <c r="GU35" i="9"/>
  <c r="DS23" i="9"/>
  <c r="DS25" i="9"/>
  <c r="DS27" i="9"/>
  <c r="DS29" i="9"/>
  <c r="DS31" i="9"/>
  <c r="DS33" i="9"/>
  <c r="DS35" i="9"/>
  <c r="ADW10" i="9"/>
  <c r="RO10" i="9"/>
  <c r="ADI40" i="9"/>
  <c r="ACV40" i="9"/>
  <c r="ZF40" i="9"/>
  <c r="HH40" i="4"/>
  <c r="AFJ40" i="9"/>
  <c r="AEW40" i="9"/>
  <c r="AEJ40" i="9"/>
  <c r="ADV40" i="9"/>
  <c r="AAT40" i="9"/>
  <c r="AAG40" i="9"/>
  <c r="ZT40" i="9"/>
  <c r="ZG10" i="9"/>
  <c r="YS40" i="9"/>
  <c r="YF40" i="9"/>
  <c r="XR40" i="9"/>
  <c r="XE40" i="9"/>
  <c r="WR40" i="9"/>
  <c r="WD40" i="9"/>
  <c r="VQ40" i="9"/>
  <c r="VD40" i="9"/>
  <c r="ACH40" i="9"/>
  <c r="ABU40" i="9"/>
  <c r="ABH40" i="9"/>
  <c r="ADW12" i="9"/>
  <c r="AAU10" i="9"/>
  <c r="XS10" i="9"/>
  <c r="ACI10" i="9"/>
  <c r="OM10" i="9"/>
  <c r="JW10" i="9"/>
  <c r="GU7" i="9"/>
  <c r="JW7" i="9"/>
  <c r="MY7" i="9"/>
  <c r="GU8" i="9"/>
  <c r="MY8" i="9"/>
  <c r="GU9" i="9"/>
  <c r="MY9" i="9"/>
  <c r="GU11" i="9"/>
  <c r="MY11" i="9"/>
  <c r="CE12" i="9"/>
  <c r="GU12" i="9"/>
  <c r="MY12" i="9"/>
  <c r="AQ13" i="9"/>
  <c r="DS13" i="9"/>
  <c r="GU13" i="9"/>
  <c r="MY13" i="9"/>
  <c r="AQ14" i="9"/>
  <c r="DS14" i="9"/>
  <c r="GU14" i="9"/>
  <c r="MY14" i="9"/>
  <c r="AQ15" i="9"/>
  <c r="CE15" i="9"/>
  <c r="DS15" i="9"/>
  <c r="GU15" i="9"/>
  <c r="JW15" i="9"/>
  <c r="MY15" i="9"/>
  <c r="AQ16" i="9"/>
  <c r="DS16" i="9"/>
  <c r="GU16" i="9"/>
  <c r="JW16" i="9"/>
  <c r="MY16" i="9"/>
  <c r="AQ17" i="9"/>
  <c r="DS17" i="9"/>
  <c r="GU17" i="9"/>
  <c r="JW17" i="9"/>
  <c r="MY17" i="9"/>
  <c r="AQ18" i="9"/>
  <c r="DS18" i="9"/>
  <c r="GU18" i="9"/>
  <c r="JW18" i="9"/>
  <c r="MY18" i="9"/>
  <c r="AQ19" i="9"/>
  <c r="DS19" i="9"/>
  <c r="GU19" i="9"/>
  <c r="JW19" i="9"/>
  <c r="MY19" i="9"/>
  <c r="DS20" i="9"/>
  <c r="GU20" i="9"/>
  <c r="JW20" i="9"/>
  <c r="MY20" i="9"/>
  <c r="AQ21" i="9"/>
  <c r="DS21" i="9"/>
  <c r="GU21" i="9"/>
  <c r="JW21" i="9"/>
  <c r="MY21" i="9"/>
  <c r="AQ22" i="9"/>
  <c r="DS22" i="9"/>
  <c r="GU22" i="9"/>
  <c r="JW22" i="9"/>
  <c r="MY22" i="9"/>
  <c r="CE23" i="9"/>
  <c r="FG23" i="9"/>
  <c r="II23" i="9"/>
  <c r="LK23" i="9"/>
  <c r="OM23" i="9"/>
  <c r="AQ24" i="9"/>
  <c r="DS24" i="9"/>
  <c r="GU24" i="9"/>
  <c r="JW24" i="9"/>
  <c r="MY24" i="9"/>
  <c r="CE25" i="9"/>
  <c r="FG25" i="9"/>
  <c r="II25" i="9"/>
  <c r="LK25" i="9"/>
  <c r="OM25" i="9"/>
  <c r="AQ26" i="9"/>
  <c r="DS26" i="9"/>
  <c r="GU26" i="9"/>
  <c r="JW26" i="9"/>
  <c r="MY26" i="9"/>
  <c r="CE27" i="9"/>
  <c r="FG27" i="9"/>
  <c r="II27" i="9"/>
  <c r="LK27" i="9"/>
  <c r="OM27" i="9"/>
  <c r="AQ28" i="9"/>
  <c r="DS28" i="9"/>
  <c r="GU28" i="9"/>
  <c r="JW28" i="9"/>
  <c r="MY28" i="9"/>
  <c r="CE29" i="9"/>
  <c r="FG29" i="9"/>
  <c r="II29" i="9"/>
  <c r="LK29" i="9"/>
  <c r="OM29" i="9"/>
  <c r="AQ30" i="9"/>
  <c r="DS30" i="9"/>
  <c r="GU30" i="9"/>
  <c r="JW30" i="9"/>
  <c r="MY30" i="9"/>
  <c r="CE31" i="9"/>
  <c r="FG31" i="9"/>
  <c r="II31" i="9"/>
  <c r="LK31" i="9"/>
  <c r="OM31" i="9"/>
  <c r="AQ32" i="9"/>
  <c r="DS32" i="9"/>
  <c r="GU32" i="9"/>
  <c r="JW32" i="9"/>
  <c r="MY32" i="9"/>
  <c r="CE33" i="9"/>
  <c r="FG33" i="9"/>
  <c r="II33" i="9"/>
  <c r="LK33" i="9"/>
  <c r="OM33" i="9"/>
  <c r="AQ34" i="9"/>
  <c r="DS34" i="9"/>
  <c r="GU34" i="9"/>
  <c r="JW34" i="9"/>
  <c r="MY34" i="9"/>
  <c r="CE35" i="9"/>
  <c r="FG35" i="9"/>
  <c r="II35" i="9"/>
  <c r="LK35" i="9"/>
  <c r="OM35" i="9"/>
  <c r="AQ36" i="9"/>
  <c r="DS36" i="9"/>
  <c r="GU36" i="9"/>
  <c r="JW36" i="9"/>
  <c r="MY36" i="9"/>
  <c r="CE37" i="9"/>
  <c r="FG37" i="9"/>
  <c r="II37" i="9"/>
  <c r="LK37" i="9"/>
  <c r="OM37" i="9"/>
  <c r="AQ38" i="9"/>
  <c r="DS38" i="9"/>
  <c r="GU38" i="9"/>
  <c r="JW38" i="9"/>
  <c r="MY38" i="9"/>
  <c r="CE39" i="9"/>
  <c r="FG39" i="9"/>
  <c r="II39" i="9"/>
  <c r="JW39" i="9"/>
  <c r="MY39" i="9"/>
  <c r="P40" i="9"/>
  <c r="AC40" i="9"/>
  <c r="AP40" i="9"/>
  <c r="BD40" i="9"/>
  <c r="BQ40" i="9"/>
  <c r="CD40" i="9"/>
  <c r="CR40" i="9"/>
  <c r="DE40" i="9"/>
  <c r="DR40" i="9"/>
  <c r="EF40" i="9"/>
  <c r="ES40" i="9"/>
  <c r="FF40" i="9"/>
  <c r="FT40" i="9"/>
  <c r="GG40" i="9"/>
  <c r="GT40" i="9"/>
  <c r="HH40" i="9"/>
  <c r="HU40" i="9"/>
  <c r="IH40" i="9"/>
  <c r="IV40" i="9"/>
  <c r="JI40" i="9"/>
  <c r="JV40" i="9"/>
  <c r="KJ40" i="9"/>
  <c r="KW40" i="9"/>
  <c r="LJ40" i="9"/>
  <c r="LX40" i="9"/>
  <c r="MK40" i="9"/>
  <c r="MX40" i="9"/>
  <c r="NL40" i="9"/>
  <c r="NY40" i="9"/>
  <c r="OL40" i="9"/>
  <c r="QA6" i="9"/>
  <c r="QA8" i="9"/>
  <c r="QA10" i="9"/>
  <c r="QA12" i="9"/>
  <c r="QA14" i="9"/>
  <c r="QA16" i="9"/>
  <c r="QA18" i="9"/>
  <c r="QA20" i="9"/>
  <c r="QA22" i="9"/>
  <c r="QA24" i="9"/>
  <c r="QA26" i="9"/>
  <c r="QA28" i="9"/>
  <c r="QA30" i="9"/>
  <c r="QA32" i="9"/>
  <c r="QA34" i="9"/>
  <c r="QA36" i="9"/>
  <c r="QA38" i="9"/>
  <c r="OZ40" i="9"/>
  <c r="PM40" i="9"/>
  <c r="PZ40" i="9"/>
  <c r="RO6" i="9"/>
  <c r="RO8" i="9"/>
  <c r="RO12" i="9"/>
  <c r="RO14" i="9"/>
  <c r="RO16" i="9"/>
  <c r="RO18" i="9"/>
  <c r="RO20" i="9"/>
  <c r="RO22" i="9"/>
  <c r="RO24" i="9"/>
  <c r="RO26" i="9"/>
  <c r="RO28" i="9"/>
  <c r="RO30" i="9"/>
  <c r="RO32" i="9"/>
  <c r="RO34" i="9"/>
  <c r="RO36" i="9"/>
  <c r="RO38" i="9"/>
  <c r="QN40" i="9"/>
  <c r="RA40" i="9"/>
  <c r="RN40" i="9"/>
  <c r="TC6" i="9"/>
  <c r="TC8" i="9"/>
  <c r="TC10" i="9"/>
  <c r="TC12" i="9"/>
  <c r="TC14" i="9"/>
  <c r="TC16" i="9"/>
  <c r="TC18" i="9"/>
  <c r="TC20" i="9"/>
  <c r="TC22" i="9"/>
  <c r="TC24" i="9"/>
  <c r="TC26" i="9"/>
  <c r="TC28" i="9"/>
  <c r="TC30" i="9"/>
  <c r="TC32" i="9"/>
  <c r="TC34" i="9"/>
  <c r="TC36" i="9"/>
  <c r="TC38" i="9"/>
  <c r="SB40" i="9"/>
  <c r="SO40" i="9"/>
  <c r="TB40" i="9"/>
  <c r="UQ6" i="9"/>
  <c r="UQ8" i="9"/>
  <c r="UQ10" i="9"/>
  <c r="UQ12" i="9"/>
  <c r="UQ14" i="9"/>
  <c r="UQ16" i="9"/>
  <c r="UQ18" i="9"/>
  <c r="UQ20" i="9"/>
  <c r="UQ22" i="9"/>
  <c r="UQ24" i="9"/>
  <c r="UQ26" i="9"/>
  <c r="UQ28" i="9"/>
  <c r="UQ30" i="9"/>
  <c r="UQ32" i="9"/>
  <c r="UQ34" i="9"/>
  <c r="UQ36" i="9"/>
  <c r="UQ38" i="9"/>
  <c r="TP40" i="9"/>
  <c r="UC40" i="9"/>
  <c r="UP40" i="9"/>
  <c r="WE6" i="9"/>
  <c r="WE8" i="9"/>
  <c r="WE10" i="9"/>
  <c r="WE12" i="9"/>
  <c r="WE14" i="9"/>
  <c r="WE16" i="9"/>
  <c r="WE18" i="9"/>
  <c r="WE20" i="9"/>
  <c r="WE22" i="9"/>
  <c r="WE24" i="9"/>
  <c r="WE26" i="9"/>
  <c r="WE28" i="9"/>
  <c r="WE30" i="9"/>
  <c r="WE32" i="9"/>
  <c r="WE33" i="9"/>
  <c r="WE35" i="9"/>
  <c r="WE37" i="9"/>
  <c r="WE39" i="9"/>
  <c r="XS7" i="9"/>
  <c r="XS9" i="9"/>
  <c r="XS11" i="9"/>
  <c r="XS13" i="9"/>
  <c r="XS15" i="9"/>
  <c r="XS17" i="9"/>
  <c r="XS19" i="9"/>
  <c r="XS21" i="9"/>
  <c r="XS23" i="9"/>
  <c r="XS25" i="9"/>
  <c r="XS27" i="9"/>
  <c r="XS29" i="9"/>
  <c r="XS31" i="9"/>
  <c r="XS33" i="9"/>
  <c r="XS35" i="9"/>
  <c r="XS37" i="9"/>
  <c r="XS39" i="9"/>
  <c r="ZG7" i="9"/>
  <c r="ZG9" i="9"/>
  <c r="ZG11" i="9"/>
  <c r="ZG13" i="9"/>
  <c r="ZG15" i="9"/>
  <c r="ZG17" i="9"/>
  <c r="ZG19" i="9"/>
  <c r="ZG21" i="9"/>
  <c r="ZG23" i="9"/>
  <c r="ZG25" i="9"/>
  <c r="ZG27" i="9"/>
  <c r="ZG29" i="9"/>
  <c r="ZG31" i="9"/>
  <c r="ZG33" i="9"/>
  <c r="ZG35" i="9"/>
  <c r="ZG37" i="9"/>
  <c r="ZG39" i="9"/>
  <c r="AAU7" i="9"/>
  <c r="AAU9" i="9"/>
  <c r="AAU11" i="9"/>
  <c r="AAU13" i="9"/>
  <c r="AAU15" i="9"/>
  <c r="AAU17" i="9"/>
  <c r="AAU19" i="9"/>
  <c r="AAU21" i="9"/>
  <c r="AAU23" i="9"/>
  <c r="AAU25" i="9"/>
  <c r="AAU27" i="9"/>
  <c r="AAU29" i="9"/>
  <c r="AAU31" i="9"/>
  <c r="AAU33" i="9"/>
  <c r="AAU35" i="9"/>
  <c r="AAU37" i="9"/>
  <c r="AAU39" i="9"/>
  <c r="ACI7" i="9"/>
  <c r="ACI9" i="9"/>
  <c r="ACI11" i="9"/>
  <c r="ACI13" i="9"/>
  <c r="ACI15" i="9"/>
  <c r="ACI17" i="9"/>
  <c r="ACI19" i="9"/>
  <c r="ACI21" i="9"/>
  <c r="ACI23" i="9"/>
  <c r="ACI25" i="9"/>
  <c r="ACI27" i="9"/>
  <c r="ACI29" i="9"/>
  <c r="ACI31" i="9"/>
  <c r="ACI33" i="9"/>
  <c r="ACI35" i="9"/>
  <c r="ACI37" i="9"/>
  <c r="ACI39" i="9"/>
  <c r="ADW7" i="9"/>
  <c r="ADW9" i="9"/>
  <c r="ADW11" i="9"/>
  <c r="ADW13" i="9"/>
  <c r="ADW15" i="9"/>
  <c r="ADW17" i="9"/>
  <c r="ADW19" i="9"/>
  <c r="ADW21" i="9"/>
  <c r="ADW23" i="9"/>
  <c r="ADW25" i="9"/>
  <c r="ADW27" i="9"/>
  <c r="ADW29" i="9"/>
  <c r="ADW31" i="9"/>
  <c r="ADW33" i="9"/>
  <c r="ADW35" i="9"/>
  <c r="ADW37" i="9"/>
  <c r="ADW39" i="9"/>
  <c r="AFK7" i="9"/>
  <c r="AFK9" i="9"/>
  <c r="AFK11" i="9"/>
  <c r="AFK15" i="9"/>
  <c r="AFK17" i="9"/>
  <c r="AFK19" i="9"/>
  <c r="AFK21" i="9"/>
  <c r="AFK23" i="9"/>
  <c r="AFK25" i="9"/>
  <c r="AFK27" i="9"/>
  <c r="AFK29" i="9"/>
  <c r="AFK31" i="9"/>
  <c r="AFK33" i="9"/>
  <c r="AFK35" i="9"/>
  <c r="AFK37" i="9"/>
  <c r="AFK39" i="9"/>
  <c r="AGY7" i="9"/>
  <c r="AGY9" i="9"/>
  <c r="AGY11" i="9"/>
  <c r="AGY13" i="9"/>
  <c r="AGY15" i="9"/>
  <c r="AGY17" i="9"/>
  <c r="AGY19" i="9"/>
  <c r="AGY21" i="9"/>
  <c r="AGY23" i="9"/>
  <c r="AGY25" i="9"/>
  <c r="AGY27" i="9"/>
  <c r="AGY29" i="9"/>
  <c r="AGY31" i="9"/>
  <c r="AGY33" i="9"/>
  <c r="AGY35" i="9"/>
  <c r="AGY37" i="9"/>
  <c r="AGY39" i="9"/>
  <c r="AIM7" i="9"/>
  <c r="AIM9" i="9"/>
  <c r="AIM11" i="9"/>
  <c r="AIM13" i="9"/>
  <c r="AIM15" i="9"/>
  <c r="AIM17" i="9"/>
  <c r="AIM19" i="9"/>
  <c r="AIM21" i="9"/>
  <c r="AIM23" i="9"/>
  <c r="AIM25" i="9"/>
  <c r="AIM27" i="9"/>
  <c r="AIM29" i="9"/>
  <c r="AIM31" i="9"/>
  <c r="AIM33" i="9"/>
  <c r="AIM35" i="9"/>
  <c r="AIM37" i="9"/>
  <c r="AIM39" i="9"/>
  <c r="AKA6" i="9"/>
  <c r="AKA8" i="9"/>
  <c r="AKA10" i="9"/>
  <c r="AKA12" i="9"/>
  <c r="AKA14" i="9"/>
  <c r="AKA16" i="9"/>
  <c r="AKA18" i="9"/>
  <c r="AKA20" i="9"/>
  <c r="AKA22" i="9"/>
  <c r="AKA24" i="9"/>
  <c r="AKA26" i="9"/>
  <c r="AKA28" i="9"/>
  <c r="AKA30" i="9"/>
  <c r="AKA32" i="9"/>
  <c r="AKA34" i="9"/>
  <c r="AKA36" i="9"/>
  <c r="AKA38" i="9"/>
  <c r="AIZ40" i="9"/>
  <c r="AJM40" i="9"/>
  <c r="AJZ40" i="9"/>
  <c r="OZ40" i="6"/>
  <c r="RA40" i="6" s="1"/>
  <c r="VD40" i="5"/>
  <c r="XR40" i="5" s="1"/>
  <c r="AGX40" i="9"/>
  <c r="AGY18" i="9"/>
  <c r="AGK40" i="9"/>
  <c r="AFX40" i="9"/>
  <c r="AFK13" i="9"/>
  <c r="RO11" i="9"/>
  <c r="MY10" i="9"/>
  <c r="GU10" i="9"/>
  <c r="FG10" i="9"/>
  <c r="MY6" i="9"/>
  <c r="LK6" i="9"/>
  <c r="LK7" i="9"/>
  <c r="LK8" i="9"/>
  <c r="LK9" i="9"/>
  <c r="LK10" i="9"/>
  <c r="JW6" i="9"/>
  <c r="JW8" i="9"/>
  <c r="JW9" i="9"/>
  <c r="JW11" i="9"/>
  <c r="JW12" i="9"/>
  <c r="JW13" i="9"/>
  <c r="JW14" i="9"/>
  <c r="II6" i="9"/>
  <c r="II7" i="9"/>
  <c r="II8" i="9"/>
  <c r="II9" i="9"/>
  <c r="II11" i="9"/>
  <c r="II12" i="9"/>
  <c r="II13" i="9"/>
  <c r="II14" i="9"/>
  <c r="II10" i="9"/>
  <c r="GU6" i="9"/>
  <c r="DS6" i="9"/>
  <c r="DS7" i="9"/>
  <c r="DS8" i="9"/>
  <c r="DS9" i="9"/>
  <c r="DS11" i="9"/>
  <c r="DS12" i="9"/>
  <c r="DS10" i="9"/>
  <c r="CE6" i="9"/>
  <c r="CE7" i="9"/>
  <c r="CE8" i="9"/>
  <c r="CE9" i="9"/>
  <c r="CE10" i="9"/>
  <c r="AQ6" i="9"/>
  <c r="AQ7" i="9"/>
  <c r="AQ8" i="9"/>
  <c r="AQ9" i="9"/>
  <c r="AQ11" i="9"/>
  <c r="AQ10" i="9"/>
  <c r="MW40" i="8"/>
  <c r="MV40" i="8"/>
  <c r="MU40" i="8"/>
  <c r="MT40" i="8"/>
  <c r="MS40" i="8"/>
  <c r="MR40" i="8"/>
  <c r="MQ40" i="8"/>
  <c r="MP40" i="8"/>
  <c r="MO40" i="8"/>
  <c r="MN40" i="8"/>
  <c r="MM40" i="8"/>
  <c r="ML40" i="8"/>
  <c r="MJ40" i="8"/>
  <c r="MI40" i="8"/>
  <c r="MH40" i="8"/>
  <c r="MG40" i="8"/>
  <c r="MF40" i="8"/>
  <c r="ME40" i="8"/>
  <c r="MD40" i="8"/>
  <c r="MC40" i="8"/>
  <c r="MB40" i="8"/>
  <c r="MA40" i="8"/>
  <c r="LZ40" i="8"/>
  <c r="LY40" i="8"/>
  <c r="LW40" i="8"/>
  <c r="LV40" i="8"/>
  <c r="LU40" i="8"/>
  <c r="LT40" i="8"/>
  <c r="LS40" i="8"/>
  <c r="LR40" i="8"/>
  <c r="LQ40" i="8"/>
  <c r="LP40" i="8"/>
  <c r="LO40" i="8"/>
  <c r="LN40" i="8"/>
  <c r="LM40" i="8"/>
  <c r="LL40" i="8"/>
  <c r="LI40" i="8"/>
  <c r="LH40" i="8"/>
  <c r="LG40" i="8"/>
  <c r="LF40" i="8"/>
  <c r="LE40" i="8"/>
  <c r="LD40" i="8"/>
  <c r="LC40" i="8"/>
  <c r="LB40" i="8"/>
  <c r="LA40" i="8"/>
  <c r="KZ40" i="8"/>
  <c r="KY40" i="8"/>
  <c r="KX40" i="8"/>
  <c r="KV40" i="8"/>
  <c r="KU40" i="8"/>
  <c r="KT40" i="8"/>
  <c r="KS40" i="8"/>
  <c r="KR40" i="8"/>
  <c r="KQ40" i="8"/>
  <c r="KP40" i="8"/>
  <c r="KO40" i="8"/>
  <c r="KN40" i="8"/>
  <c r="KM40" i="8"/>
  <c r="KL40" i="8"/>
  <c r="KK40" i="8"/>
  <c r="KI40" i="8"/>
  <c r="KH40" i="8"/>
  <c r="KG40" i="8"/>
  <c r="KF40" i="8"/>
  <c r="KE40" i="8"/>
  <c r="KD40" i="8"/>
  <c r="KC40" i="8"/>
  <c r="KB40" i="8"/>
  <c r="KA40" i="8"/>
  <c r="JZ40" i="8"/>
  <c r="JY40" i="8"/>
  <c r="JX40" i="8"/>
  <c r="JU40" i="8"/>
  <c r="JT40" i="8"/>
  <c r="JS40" i="8"/>
  <c r="JR40" i="8"/>
  <c r="JQ40" i="8"/>
  <c r="JP40" i="8"/>
  <c r="JO40" i="8"/>
  <c r="JN40" i="8"/>
  <c r="JM40" i="8"/>
  <c r="JL40" i="8"/>
  <c r="JK40" i="8"/>
  <c r="JJ40" i="8"/>
  <c r="JH40" i="8"/>
  <c r="JG40" i="8"/>
  <c r="JF40" i="8"/>
  <c r="JE40" i="8"/>
  <c r="JD40" i="8"/>
  <c r="JC40" i="8"/>
  <c r="JB40" i="8"/>
  <c r="JA40" i="8"/>
  <c r="IZ40" i="8"/>
  <c r="IY40" i="8"/>
  <c r="IX40" i="8"/>
  <c r="IW40" i="8"/>
  <c r="IU40" i="8"/>
  <c r="IT40" i="8"/>
  <c r="IS40" i="8"/>
  <c r="IR40" i="8"/>
  <c r="IQ40" i="8"/>
  <c r="IP40" i="8"/>
  <c r="IO40" i="8"/>
  <c r="IN40" i="8"/>
  <c r="IM40" i="8"/>
  <c r="IL40" i="8"/>
  <c r="IK40" i="8"/>
  <c r="IJ40" i="8"/>
  <c r="IG40" i="8"/>
  <c r="IF40" i="8"/>
  <c r="IE40" i="8"/>
  <c r="ID40" i="8"/>
  <c r="IC40" i="8"/>
  <c r="IB40" i="8"/>
  <c r="IA40" i="8"/>
  <c r="HZ40" i="8"/>
  <c r="HY40" i="8"/>
  <c r="HX40" i="8"/>
  <c r="HW40" i="8"/>
  <c r="HV40" i="8"/>
  <c r="HT40" i="8"/>
  <c r="HS40" i="8"/>
  <c r="HR40" i="8"/>
  <c r="HQ40" i="8"/>
  <c r="HP40" i="8"/>
  <c r="HO40" i="8"/>
  <c r="HN40" i="8"/>
  <c r="HM40" i="8"/>
  <c r="HL40" i="8"/>
  <c r="HK40" i="8"/>
  <c r="HJ40" i="8"/>
  <c r="HI40" i="8"/>
  <c r="HG40" i="8"/>
  <c r="HF40" i="8"/>
  <c r="HE40" i="8"/>
  <c r="HD40" i="8"/>
  <c r="HC40" i="8"/>
  <c r="HB40" i="8"/>
  <c r="HA40" i="8"/>
  <c r="GZ40" i="8"/>
  <c r="GY40" i="8"/>
  <c r="GX40" i="8"/>
  <c r="GW40" i="8"/>
  <c r="GV40" i="8"/>
  <c r="GS40" i="8"/>
  <c r="GR40" i="8"/>
  <c r="GQ40" i="8"/>
  <c r="GP40" i="8"/>
  <c r="GO40" i="8"/>
  <c r="GN40" i="8"/>
  <c r="GM40" i="8"/>
  <c r="GL40" i="8"/>
  <c r="GK40" i="8"/>
  <c r="GJ40" i="8"/>
  <c r="GI40" i="8"/>
  <c r="GH40" i="8"/>
  <c r="GF40" i="8"/>
  <c r="GE40" i="8"/>
  <c r="GD40" i="8"/>
  <c r="GC40" i="8"/>
  <c r="GB40" i="8"/>
  <c r="GA40" i="8"/>
  <c r="FZ40" i="8"/>
  <c r="FY40" i="8"/>
  <c r="FX40" i="8"/>
  <c r="FW40" i="8"/>
  <c r="FV40" i="8"/>
  <c r="FU40" i="8"/>
  <c r="FS40" i="8"/>
  <c r="FR40" i="8"/>
  <c r="FQ40" i="8"/>
  <c r="FP40" i="8"/>
  <c r="FO40" i="8"/>
  <c r="FN40" i="8"/>
  <c r="FM40" i="8"/>
  <c r="FL40" i="8"/>
  <c r="FK40" i="8"/>
  <c r="FJ40" i="8"/>
  <c r="FI40" i="8"/>
  <c r="FH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R40" i="8"/>
  <c r="EQ40" i="8"/>
  <c r="EP40" i="8"/>
  <c r="EO40" i="8"/>
  <c r="EN40" i="8"/>
  <c r="EM40" i="8"/>
  <c r="EL40" i="8"/>
  <c r="EK40" i="8"/>
  <c r="EJ40" i="8"/>
  <c r="EI40" i="8"/>
  <c r="EH40" i="8"/>
  <c r="EG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B40" i="8"/>
  <c r="AA40" i="8"/>
  <c r="Z40" i="8"/>
  <c r="Y40" i="8"/>
  <c r="X40" i="8"/>
  <c r="W40" i="8"/>
  <c r="V40" i="8"/>
  <c r="U40" i="8"/>
  <c r="T40" i="8"/>
  <c r="S40" i="8"/>
  <c r="R40" i="8"/>
  <c r="Q40" i="8"/>
  <c r="O40" i="8"/>
  <c r="N40" i="8"/>
  <c r="M40" i="8"/>
  <c r="L40" i="8"/>
  <c r="K40" i="8"/>
  <c r="J40" i="8"/>
  <c r="I40" i="8"/>
  <c r="H40" i="8"/>
  <c r="G40" i="8"/>
  <c r="F40" i="8"/>
  <c r="E40" i="8"/>
  <c r="D40" i="8"/>
  <c r="MX39" i="8"/>
  <c r="MK39" i="8"/>
  <c r="LX39" i="8"/>
  <c r="LJ39" i="8"/>
  <c r="KW39" i="8"/>
  <c r="KJ39" i="8"/>
  <c r="LK39" i="8" s="1"/>
  <c r="JV39" i="8"/>
  <c r="JI39" i="8"/>
  <c r="IV39" i="8"/>
  <c r="IH39" i="8"/>
  <c r="HU39" i="8"/>
  <c r="HH39" i="8"/>
  <c r="II39" i="8" s="1"/>
  <c r="GT39" i="8"/>
  <c r="GG39" i="8"/>
  <c r="FT39" i="8"/>
  <c r="FF39" i="8"/>
  <c r="ES39" i="8"/>
  <c r="EF39" i="8"/>
  <c r="FG39" i="8" s="1"/>
  <c r="DR39" i="8"/>
  <c r="DE39" i="8"/>
  <c r="CR39" i="8"/>
  <c r="CD39" i="8"/>
  <c r="BQ39" i="8"/>
  <c r="BD39" i="8"/>
  <c r="CE39" i="8" s="1"/>
  <c r="AP39" i="8"/>
  <c r="AC39" i="8"/>
  <c r="P39" i="8"/>
  <c r="MX38" i="8"/>
  <c r="MK38" i="8"/>
  <c r="LX38" i="8"/>
  <c r="MY38" i="8" s="1"/>
  <c r="LJ38" i="8"/>
  <c r="KW38" i="8"/>
  <c r="KJ38" i="8"/>
  <c r="JV38" i="8"/>
  <c r="JI38" i="8"/>
  <c r="IV38" i="8"/>
  <c r="JW38" i="8" s="1"/>
  <c r="IH38" i="8"/>
  <c r="HU38" i="8"/>
  <c r="HH38" i="8"/>
  <c r="GT38" i="8"/>
  <c r="GG38" i="8"/>
  <c r="FT38" i="8"/>
  <c r="GU38" i="8" s="1"/>
  <c r="FF38" i="8"/>
  <c r="ES38" i="8"/>
  <c r="EF38" i="8"/>
  <c r="DR38" i="8"/>
  <c r="DE38" i="8"/>
  <c r="CR38" i="8"/>
  <c r="DS38" i="8" s="1"/>
  <c r="CD38" i="8"/>
  <c r="BQ38" i="8"/>
  <c r="BD38" i="8"/>
  <c r="AP38" i="8"/>
  <c r="AC38" i="8"/>
  <c r="P38" i="8"/>
  <c r="AQ38" i="8" s="1"/>
  <c r="MX37" i="8"/>
  <c r="MK37" i="8"/>
  <c r="LX37" i="8"/>
  <c r="LJ37" i="8"/>
  <c r="KW37" i="8"/>
  <c r="KJ37" i="8"/>
  <c r="LK37" i="8" s="1"/>
  <c r="JV37" i="8"/>
  <c r="JI37" i="8"/>
  <c r="JW37" i="8" s="1"/>
  <c r="IV37" i="8"/>
  <c r="IH37" i="8"/>
  <c r="HU37" i="8"/>
  <c r="HH37" i="8"/>
  <c r="GT37" i="8"/>
  <c r="GG37" i="8"/>
  <c r="GU37" i="8" s="1"/>
  <c r="FT37" i="8"/>
  <c r="FF37" i="8"/>
  <c r="ES37" i="8"/>
  <c r="EF37" i="8"/>
  <c r="DR37" i="8"/>
  <c r="DE37" i="8"/>
  <c r="DS37" i="8" s="1"/>
  <c r="CR37" i="8"/>
  <c r="CD37" i="8"/>
  <c r="BQ37" i="8"/>
  <c r="BD37" i="8"/>
  <c r="AP37" i="8"/>
  <c r="AC37" i="8"/>
  <c r="AQ37" i="8" s="1"/>
  <c r="P37" i="8"/>
  <c r="MX36" i="8"/>
  <c r="MK36" i="8"/>
  <c r="LX36" i="8"/>
  <c r="MY36" i="8" s="1"/>
  <c r="LJ36" i="8"/>
  <c r="KW36" i="8"/>
  <c r="KJ36" i="8"/>
  <c r="JV36" i="8"/>
  <c r="JI36" i="8"/>
  <c r="IV36" i="8"/>
  <c r="JW36" i="8" s="1"/>
  <c r="IH36" i="8"/>
  <c r="HU36" i="8"/>
  <c r="HH36" i="8"/>
  <c r="GT36" i="8"/>
  <c r="GG36" i="8"/>
  <c r="FT36" i="8"/>
  <c r="GU36" i="8" s="1"/>
  <c r="FF36" i="8"/>
  <c r="ES36" i="8"/>
  <c r="EF36" i="8"/>
  <c r="DR36" i="8"/>
  <c r="DE36" i="8"/>
  <c r="CR36" i="8"/>
  <c r="CD36" i="8"/>
  <c r="BQ36" i="8"/>
  <c r="BD36" i="8"/>
  <c r="AP36" i="8"/>
  <c r="AC36" i="8"/>
  <c r="P36" i="8"/>
  <c r="AQ36" i="8" s="1"/>
  <c r="MX35" i="8"/>
  <c r="MK35" i="8"/>
  <c r="LX35" i="8"/>
  <c r="LJ35" i="8"/>
  <c r="KW35" i="8"/>
  <c r="KJ35" i="8"/>
  <c r="LK35" i="8" s="1"/>
  <c r="JV35" i="8"/>
  <c r="JI35" i="8"/>
  <c r="IV35" i="8"/>
  <c r="IH35" i="8"/>
  <c r="HU35" i="8"/>
  <c r="HH35" i="8"/>
  <c r="II35" i="8" s="1"/>
  <c r="GT35" i="8"/>
  <c r="GG35" i="8"/>
  <c r="GU35" i="8" s="1"/>
  <c r="FT35" i="8"/>
  <c r="FF35" i="8"/>
  <c r="ES35" i="8"/>
  <c r="EF35" i="8"/>
  <c r="DR35" i="8"/>
  <c r="DE35" i="8"/>
  <c r="DS35" i="8" s="1"/>
  <c r="CR35" i="8"/>
  <c r="CD35" i="8"/>
  <c r="BQ35" i="8"/>
  <c r="BD35" i="8"/>
  <c r="AP35" i="8"/>
  <c r="AC35" i="8"/>
  <c r="AQ35" i="8" s="1"/>
  <c r="P35" i="8"/>
  <c r="MX34" i="8"/>
  <c r="MK34" i="8"/>
  <c r="LX34" i="8"/>
  <c r="MY34" i="8" s="1"/>
  <c r="LJ34" i="8"/>
  <c r="KW34" i="8"/>
  <c r="KJ34" i="8"/>
  <c r="JV34" i="8"/>
  <c r="JI34" i="8"/>
  <c r="IV34" i="8"/>
  <c r="JW34" i="8" s="1"/>
  <c r="IH34" i="8"/>
  <c r="HU34" i="8"/>
  <c r="HH34" i="8"/>
  <c r="GT34" i="8"/>
  <c r="GG34" i="8"/>
  <c r="FT34" i="8"/>
  <c r="GU34" i="8" s="1"/>
  <c r="FF34" i="8"/>
  <c r="ES34" i="8"/>
  <c r="EF34" i="8"/>
  <c r="DR34" i="8"/>
  <c r="DE34" i="8"/>
  <c r="CR34" i="8"/>
  <c r="DS34" i="8" s="1"/>
  <c r="CD34" i="8"/>
  <c r="BQ34" i="8"/>
  <c r="BD34" i="8"/>
  <c r="AP34" i="8"/>
  <c r="AC34" i="8"/>
  <c r="P34" i="8"/>
  <c r="AQ34" i="8" s="1"/>
  <c r="MX33" i="8"/>
  <c r="MK33" i="8"/>
  <c r="LX33" i="8"/>
  <c r="LJ33" i="8"/>
  <c r="KW33" i="8"/>
  <c r="KJ33" i="8"/>
  <c r="JV33" i="8"/>
  <c r="JI33" i="8"/>
  <c r="JW33" i="8" s="1"/>
  <c r="IV33" i="8"/>
  <c r="IH33" i="8"/>
  <c r="HU33" i="8"/>
  <c r="HH33" i="8"/>
  <c r="GT33" i="8"/>
  <c r="GG33" i="8"/>
  <c r="GU33" i="8" s="1"/>
  <c r="FT33" i="8"/>
  <c r="FF33" i="8"/>
  <c r="ES33" i="8"/>
  <c r="EF33" i="8"/>
  <c r="DR33" i="8"/>
  <c r="DE33" i="8"/>
  <c r="CR33" i="8"/>
  <c r="CD33" i="8"/>
  <c r="BQ33" i="8"/>
  <c r="BD33" i="8"/>
  <c r="AP33" i="8"/>
  <c r="AC33" i="8"/>
  <c r="AQ33" i="8" s="1"/>
  <c r="P33" i="8"/>
  <c r="MX32" i="8"/>
  <c r="MK32" i="8"/>
  <c r="LX32" i="8"/>
  <c r="MY32" i="8" s="1"/>
  <c r="LJ32" i="8"/>
  <c r="KW32" i="8"/>
  <c r="KJ32" i="8"/>
  <c r="JV32" i="8"/>
  <c r="JI32" i="8"/>
  <c r="IV32" i="8"/>
  <c r="IH32" i="8"/>
  <c r="HU32" i="8"/>
  <c r="HH32" i="8"/>
  <c r="GT32" i="8"/>
  <c r="GG32" i="8"/>
  <c r="FT32" i="8"/>
  <c r="GU32" i="8" s="1"/>
  <c r="FF32" i="8"/>
  <c r="ES32" i="8"/>
  <c r="EF32" i="8"/>
  <c r="DR32" i="8"/>
  <c r="DE32" i="8"/>
  <c r="CR32" i="8"/>
  <c r="DS32" i="8" s="1"/>
  <c r="CD32" i="8"/>
  <c r="BQ32" i="8"/>
  <c r="BD32" i="8"/>
  <c r="AP32" i="8"/>
  <c r="AC32" i="8"/>
  <c r="P32" i="8"/>
  <c r="AQ32" i="8" s="1"/>
  <c r="MX31" i="8"/>
  <c r="MK31" i="8"/>
  <c r="LX31" i="8"/>
  <c r="LJ31" i="8"/>
  <c r="KW31" i="8"/>
  <c r="KJ31" i="8"/>
  <c r="JV31" i="8"/>
  <c r="JI31" i="8"/>
  <c r="JW31" i="8" s="1"/>
  <c r="IV31" i="8"/>
  <c r="IH31" i="8"/>
  <c r="HU31" i="8"/>
  <c r="HH31" i="8"/>
  <c r="GT31" i="8"/>
  <c r="GG31" i="8"/>
  <c r="GU31" i="8" s="1"/>
  <c r="FT31" i="8"/>
  <c r="FF31" i="8"/>
  <c r="ES31" i="8"/>
  <c r="EF31" i="8"/>
  <c r="DR31" i="8"/>
  <c r="DE31" i="8"/>
  <c r="CR31" i="8"/>
  <c r="CD31" i="8"/>
  <c r="BQ31" i="8"/>
  <c r="BD31" i="8"/>
  <c r="AP31" i="8"/>
  <c r="AC31" i="8"/>
  <c r="AQ31" i="8" s="1"/>
  <c r="P31" i="8"/>
  <c r="MX30" i="8"/>
  <c r="MK30" i="8"/>
  <c r="LX30" i="8"/>
  <c r="MY30" i="8" s="1"/>
  <c r="LJ30" i="8"/>
  <c r="KW30" i="8"/>
  <c r="KJ30" i="8"/>
  <c r="JV30" i="8"/>
  <c r="JI30" i="8"/>
  <c r="IV30" i="8"/>
  <c r="JW30" i="8" s="1"/>
  <c r="IH30" i="8"/>
  <c r="HU30" i="8"/>
  <c r="HH30" i="8"/>
  <c r="GT30" i="8"/>
  <c r="GG30" i="8"/>
  <c r="FT30" i="8"/>
  <c r="GU30" i="8" s="1"/>
  <c r="FF30" i="8"/>
  <c r="ES30" i="8"/>
  <c r="EF30" i="8"/>
  <c r="DR30" i="8"/>
  <c r="DE30" i="8"/>
  <c r="CR30" i="8"/>
  <c r="DS30" i="8" s="1"/>
  <c r="CD30" i="8"/>
  <c r="BQ30" i="8"/>
  <c r="BD30" i="8"/>
  <c r="AP30" i="8"/>
  <c r="AC30" i="8"/>
  <c r="P30" i="8"/>
  <c r="AQ30" i="8" s="1"/>
  <c r="MX29" i="8"/>
  <c r="MK29" i="8"/>
  <c r="LX29" i="8"/>
  <c r="LJ29" i="8"/>
  <c r="KW29" i="8"/>
  <c r="KJ29" i="8"/>
  <c r="JV29" i="8"/>
  <c r="JI29" i="8"/>
  <c r="JW29" i="8" s="1"/>
  <c r="IV29" i="8"/>
  <c r="IH29" i="8"/>
  <c r="HU29" i="8"/>
  <c r="HH29" i="8"/>
  <c r="GT29" i="8"/>
  <c r="GG29" i="8"/>
  <c r="GU29" i="8" s="1"/>
  <c r="FT29" i="8"/>
  <c r="FF29" i="8"/>
  <c r="ES29" i="8"/>
  <c r="EF29" i="8"/>
  <c r="DR29" i="8"/>
  <c r="DE29" i="8"/>
  <c r="DS29" i="8" s="1"/>
  <c r="CR29" i="8"/>
  <c r="CD29" i="8"/>
  <c r="BQ29" i="8"/>
  <c r="BD29" i="8"/>
  <c r="AP29" i="8"/>
  <c r="AC29" i="8"/>
  <c r="AQ29" i="8" s="1"/>
  <c r="P29" i="8"/>
  <c r="MX28" i="8"/>
  <c r="MK28" i="8"/>
  <c r="LX28" i="8"/>
  <c r="MY28" i="8" s="1"/>
  <c r="LJ28" i="8"/>
  <c r="KW28" i="8"/>
  <c r="KJ28" i="8"/>
  <c r="JV28" i="8"/>
  <c r="JI28" i="8"/>
  <c r="IV28" i="8"/>
  <c r="JW28" i="8" s="1"/>
  <c r="IH28" i="8"/>
  <c r="HU28" i="8"/>
  <c r="HH28" i="8"/>
  <c r="GT28" i="8"/>
  <c r="GG28" i="8"/>
  <c r="FT28" i="8"/>
  <c r="GU28" i="8" s="1"/>
  <c r="FF28" i="8"/>
  <c r="ES28" i="8"/>
  <c r="EF28" i="8"/>
  <c r="DR28" i="8"/>
  <c r="DE28" i="8"/>
  <c r="CR28" i="8"/>
  <c r="DS28" i="8" s="1"/>
  <c r="CD28" i="8"/>
  <c r="BQ28" i="8"/>
  <c r="BD28" i="8"/>
  <c r="AP28" i="8"/>
  <c r="AC28" i="8"/>
  <c r="P28" i="8"/>
  <c r="AQ28" i="8" s="1"/>
  <c r="MX27" i="8"/>
  <c r="MK27" i="8"/>
  <c r="LX27" i="8"/>
  <c r="LJ27" i="8"/>
  <c r="KW27" i="8"/>
  <c r="KJ27" i="8"/>
  <c r="JV27" i="8"/>
  <c r="JI27" i="8"/>
  <c r="JW27" i="8" s="1"/>
  <c r="IV27" i="8"/>
  <c r="IH27" i="8"/>
  <c r="HU27" i="8"/>
  <c r="HH27" i="8"/>
  <c r="GT27" i="8"/>
  <c r="GG27" i="8"/>
  <c r="GU27" i="8" s="1"/>
  <c r="FT27" i="8"/>
  <c r="FF27" i="8"/>
  <c r="ES27" i="8"/>
  <c r="EF27" i="8"/>
  <c r="DR27" i="8"/>
  <c r="DE27" i="8"/>
  <c r="DS27" i="8" s="1"/>
  <c r="CR27" i="8"/>
  <c r="CD27" i="8"/>
  <c r="BQ27" i="8"/>
  <c r="BD27" i="8"/>
  <c r="AP27" i="8"/>
  <c r="AC27" i="8"/>
  <c r="AQ27" i="8" s="1"/>
  <c r="P27" i="8"/>
  <c r="MX26" i="8"/>
  <c r="MK26" i="8"/>
  <c r="LX26" i="8"/>
  <c r="MY26" i="8" s="1"/>
  <c r="LJ26" i="8"/>
  <c r="KW26" i="8"/>
  <c r="KJ26" i="8"/>
  <c r="JV26" i="8"/>
  <c r="JI26" i="8"/>
  <c r="IV26" i="8"/>
  <c r="IH26" i="8"/>
  <c r="HU26" i="8"/>
  <c r="HH26" i="8"/>
  <c r="GT26" i="8"/>
  <c r="GG26" i="8"/>
  <c r="FT26" i="8"/>
  <c r="GU26" i="8" s="1"/>
  <c r="FF26" i="8"/>
  <c r="ES26" i="8"/>
  <c r="EF26" i="8"/>
  <c r="DR26" i="8"/>
  <c r="DE26" i="8"/>
  <c r="CR26" i="8"/>
  <c r="DS26" i="8" s="1"/>
  <c r="CD26" i="8"/>
  <c r="BQ26" i="8"/>
  <c r="BD26" i="8"/>
  <c r="AP26" i="8"/>
  <c r="AC26" i="8"/>
  <c r="P26" i="8"/>
  <c r="AQ26" i="8" s="1"/>
  <c r="MX25" i="8"/>
  <c r="MK25" i="8"/>
  <c r="LX25" i="8"/>
  <c r="LJ25" i="8"/>
  <c r="KW25" i="8"/>
  <c r="KJ25" i="8"/>
  <c r="JV25" i="8"/>
  <c r="JI25" i="8"/>
  <c r="JW25" i="8" s="1"/>
  <c r="IV25" i="8"/>
  <c r="IH25" i="8"/>
  <c r="HU25" i="8"/>
  <c r="HH25" i="8"/>
  <c r="GT25" i="8"/>
  <c r="GG25" i="8"/>
  <c r="GU25" i="8" s="1"/>
  <c r="FT25" i="8"/>
  <c r="FF25" i="8"/>
  <c r="ES25" i="8"/>
  <c r="EF25" i="8"/>
  <c r="DR25" i="8"/>
  <c r="DE25" i="8"/>
  <c r="DS25" i="8" s="1"/>
  <c r="CR25" i="8"/>
  <c r="CD25" i="8"/>
  <c r="BQ25" i="8"/>
  <c r="BD25" i="8"/>
  <c r="AP25" i="8"/>
  <c r="AC25" i="8"/>
  <c r="AQ25" i="8" s="1"/>
  <c r="P25" i="8"/>
  <c r="MX24" i="8"/>
  <c r="MK24" i="8"/>
  <c r="LX24" i="8"/>
  <c r="MY24" i="8" s="1"/>
  <c r="LJ24" i="8"/>
  <c r="KW24" i="8"/>
  <c r="KJ24" i="8"/>
  <c r="JV24" i="8"/>
  <c r="JI24" i="8"/>
  <c r="IV24" i="8"/>
  <c r="JW24" i="8" s="1"/>
  <c r="IH24" i="8"/>
  <c r="HU24" i="8"/>
  <c r="HH24" i="8"/>
  <c r="GT24" i="8"/>
  <c r="GG24" i="8"/>
  <c r="FT24" i="8"/>
  <c r="GU24" i="8" s="1"/>
  <c r="FF24" i="8"/>
  <c r="ES24" i="8"/>
  <c r="EF24" i="8"/>
  <c r="DR24" i="8"/>
  <c r="DE24" i="8"/>
  <c r="CR24" i="8"/>
  <c r="DS24" i="8" s="1"/>
  <c r="CD24" i="8"/>
  <c r="BQ24" i="8"/>
  <c r="BD24" i="8"/>
  <c r="AP24" i="8"/>
  <c r="AC24" i="8"/>
  <c r="P24" i="8"/>
  <c r="AQ24" i="8" s="1"/>
  <c r="MX23" i="8"/>
  <c r="MK23" i="8"/>
  <c r="LX23" i="8"/>
  <c r="LJ23" i="8"/>
  <c r="KW23" i="8"/>
  <c r="KJ23" i="8"/>
  <c r="JV23" i="8"/>
  <c r="JI23" i="8"/>
  <c r="JW23" i="8" s="1"/>
  <c r="IV23" i="8"/>
  <c r="IH23" i="8"/>
  <c r="HU23" i="8"/>
  <c r="HH23" i="8"/>
  <c r="GT23" i="8"/>
  <c r="GG23" i="8"/>
  <c r="GU23" i="8" s="1"/>
  <c r="FT23" i="8"/>
  <c r="FF23" i="8"/>
  <c r="ES23" i="8"/>
  <c r="EF23" i="8"/>
  <c r="DR23" i="8"/>
  <c r="DE23" i="8"/>
  <c r="DS23" i="8" s="1"/>
  <c r="CR23" i="8"/>
  <c r="CD23" i="8"/>
  <c r="BQ23" i="8"/>
  <c r="BD23" i="8"/>
  <c r="AP23" i="8"/>
  <c r="AC23" i="8"/>
  <c r="AQ23" i="8" s="1"/>
  <c r="P23" i="8"/>
  <c r="MX22" i="8"/>
  <c r="MK22" i="8"/>
  <c r="LX22" i="8"/>
  <c r="MY22" i="8" s="1"/>
  <c r="LJ22" i="8"/>
  <c r="KW22" i="8"/>
  <c r="KJ22" i="8"/>
  <c r="JV22" i="8"/>
  <c r="JI22" i="8"/>
  <c r="IV22" i="8"/>
  <c r="JW22" i="8" s="1"/>
  <c r="IH22" i="8"/>
  <c r="HU22" i="8"/>
  <c r="HH22" i="8"/>
  <c r="GT22" i="8"/>
  <c r="GG22" i="8"/>
  <c r="FT22" i="8"/>
  <c r="GU22" i="8" s="1"/>
  <c r="FF22" i="8"/>
  <c r="ES22" i="8"/>
  <c r="EF22" i="8"/>
  <c r="DR22" i="8"/>
  <c r="DE22" i="8"/>
  <c r="CR22" i="8"/>
  <c r="DS22" i="8" s="1"/>
  <c r="CD22" i="8"/>
  <c r="BQ22" i="8"/>
  <c r="BD22" i="8"/>
  <c r="AP22" i="8"/>
  <c r="AC22" i="8"/>
  <c r="P22" i="8"/>
  <c r="AQ22" i="8" s="1"/>
  <c r="MX21" i="8"/>
  <c r="MK21" i="8"/>
  <c r="LX21" i="8"/>
  <c r="LJ21" i="8"/>
  <c r="KW21" i="8"/>
  <c r="KJ21" i="8"/>
  <c r="JV21" i="8"/>
  <c r="JI21" i="8"/>
  <c r="JW21" i="8" s="1"/>
  <c r="IV21" i="8"/>
  <c r="IH21" i="8"/>
  <c r="HU21" i="8"/>
  <c r="HH21" i="8"/>
  <c r="GT21" i="8"/>
  <c r="GG21" i="8"/>
  <c r="GU21" i="8" s="1"/>
  <c r="FT21" i="8"/>
  <c r="FF21" i="8"/>
  <c r="ES21" i="8"/>
  <c r="EF21" i="8"/>
  <c r="DR21" i="8"/>
  <c r="DE21" i="8"/>
  <c r="DS21" i="8" s="1"/>
  <c r="CR21" i="8"/>
  <c r="CD21" i="8"/>
  <c r="BQ21" i="8"/>
  <c r="BD21" i="8"/>
  <c r="AP21" i="8"/>
  <c r="AC21" i="8"/>
  <c r="AQ21" i="8" s="1"/>
  <c r="P21" i="8"/>
  <c r="MX20" i="8"/>
  <c r="MK20" i="8"/>
  <c r="LX20" i="8"/>
  <c r="MY20" i="8" s="1"/>
  <c r="LJ20" i="8"/>
  <c r="KW20" i="8"/>
  <c r="KJ20" i="8"/>
  <c r="JV20" i="8"/>
  <c r="JI20" i="8"/>
  <c r="IV20" i="8"/>
  <c r="IH20" i="8"/>
  <c r="HU20" i="8"/>
  <c r="HH20" i="8"/>
  <c r="GT20" i="8"/>
  <c r="GG20" i="8"/>
  <c r="FT20" i="8"/>
  <c r="GU20" i="8" s="1"/>
  <c r="FF20" i="8"/>
  <c r="ES20" i="8"/>
  <c r="EF20" i="8"/>
  <c r="DR20" i="8"/>
  <c r="DE20" i="8"/>
  <c r="CR20" i="8"/>
  <c r="DS20" i="8" s="1"/>
  <c r="CD20" i="8"/>
  <c r="BQ20" i="8"/>
  <c r="BD20" i="8"/>
  <c r="AP20" i="8"/>
  <c r="AC20" i="8"/>
  <c r="P20" i="8"/>
  <c r="AQ20" i="8" s="1"/>
  <c r="MX19" i="8"/>
  <c r="MK19" i="8"/>
  <c r="LX19" i="8"/>
  <c r="LJ19" i="8"/>
  <c r="KW19" i="8"/>
  <c r="KJ19" i="8"/>
  <c r="JV19" i="8"/>
  <c r="JI19" i="8"/>
  <c r="JW19" i="8" s="1"/>
  <c r="IV19" i="8"/>
  <c r="IH19" i="8"/>
  <c r="HU19" i="8"/>
  <c r="HH19" i="8"/>
  <c r="GT19" i="8"/>
  <c r="GG19" i="8"/>
  <c r="GU19" i="8" s="1"/>
  <c r="FT19" i="8"/>
  <c r="FF19" i="8"/>
  <c r="ES19" i="8"/>
  <c r="EF19" i="8"/>
  <c r="DR19" i="8"/>
  <c r="DE19" i="8"/>
  <c r="DS19" i="8" s="1"/>
  <c r="CR19" i="8"/>
  <c r="CD19" i="8"/>
  <c r="BQ19" i="8"/>
  <c r="BD19" i="8"/>
  <c r="AP19" i="8"/>
  <c r="AC19" i="8"/>
  <c r="AQ19" i="8" s="1"/>
  <c r="P19" i="8"/>
  <c r="MX18" i="8"/>
  <c r="MK18" i="8"/>
  <c r="LX18" i="8"/>
  <c r="MY18" i="8" s="1"/>
  <c r="LJ18" i="8"/>
  <c r="KW18" i="8"/>
  <c r="KJ18" i="8"/>
  <c r="JV18" i="8"/>
  <c r="JI18" i="8"/>
  <c r="IV18" i="8"/>
  <c r="JW18" i="8" s="1"/>
  <c r="IH18" i="8"/>
  <c r="HU18" i="8"/>
  <c r="HH18" i="8"/>
  <c r="GT18" i="8"/>
  <c r="GG18" i="8"/>
  <c r="FT18" i="8"/>
  <c r="GU18" i="8" s="1"/>
  <c r="FF18" i="8"/>
  <c r="ES18" i="8"/>
  <c r="EF18" i="8"/>
  <c r="DR18" i="8"/>
  <c r="DE18" i="8"/>
  <c r="CR18" i="8"/>
  <c r="CD18" i="8"/>
  <c r="BQ18" i="8"/>
  <c r="BD18" i="8"/>
  <c r="AP18" i="8"/>
  <c r="AC18" i="8"/>
  <c r="P18" i="8"/>
  <c r="AQ18" i="8" s="1"/>
  <c r="MX17" i="8"/>
  <c r="MK17" i="8"/>
  <c r="LX17" i="8"/>
  <c r="LJ17" i="8"/>
  <c r="KW17" i="8"/>
  <c r="KJ17" i="8"/>
  <c r="JV17" i="8"/>
  <c r="JI17" i="8"/>
  <c r="JW17" i="8" s="1"/>
  <c r="IV17" i="8"/>
  <c r="IH17" i="8"/>
  <c r="HU17" i="8"/>
  <c r="HH17" i="8"/>
  <c r="GT17" i="8"/>
  <c r="GG17" i="8"/>
  <c r="GU17" i="8" s="1"/>
  <c r="FT17" i="8"/>
  <c r="FF17" i="8"/>
  <c r="ES17" i="8"/>
  <c r="EF17" i="8"/>
  <c r="DR17" i="8"/>
  <c r="DE17" i="8"/>
  <c r="DS17" i="8" s="1"/>
  <c r="CR17" i="8"/>
  <c r="CD17" i="8"/>
  <c r="BQ17" i="8"/>
  <c r="BD17" i="8"/>
  <c r="AP17" i="8"/>
  <c r="AC17" i="8"/>
  <c r="AQ17" i="8" s="1"/>
  <c r="P17" i="8"/>
  <c r="MX16" i="8"/>
  <c r="MK16" i="8"/>
  <c r="LX16" i="8"/>
  <c r="MY16" i="8" s="1"/>
  <c r="LJ16" i="8"/>
  <c r="KW16" i="8"/>
  <c r="KJ16" i="8"/>
  <c r="JV16" i="8"/>
  <c r="JI16" i="8"/>
  <c r="IV16" i="8"/>
  <c r="IH16" i="8"/>
  <c r="HU16" i="8"/>
  <c r="HH16" i="8"/>
  <c r="GT16" i="8"/>
  <c r="GG16" i="8"/>
  <c r="FT16" i="8"/>
  <c r="GU16" i="8" s="1"/>
  <c r="FF16" i="8"/>
  <c r="ES16" i="8"/>
  <c r="EF16" i="8"/>
  <c r="DR16" i="8"/>
  <c r="DE16" i="8"/>
  <c r="CR16" i="8"/>
  <c r="CD16" i="8"/>
  <c r="BQ16" i="8"/>
  <c r="BD16" i="8"/>
  <c r="AP16" i="8"/>
  <c r="AC16" i="8"/>
  <c r="P16" i="8"/>
  <c r="AQ16" i="8" s="1"/>
  <c r="MX15" i="8"/>
  <c r="MK15" i="8"/>
  <c r="LX15" i="8"/>
  <c r="LJ15" i="8"/>
  <c r="KW15" i="8"/>
  <c r="KJ15" i="8"/>
  <c r="JV15" i="8"/>
  <c r="JI15" i="8"/>
  <c r="JW15" i="8" s="1"/>
  <c r="IV15" i="8"/>
  <c r="IH15" i="8"/>
  <c r="HU15" i="8"/>
  <c r="HH15" i="8"/>
  <c r="GT15" i="8"/>
  <c r="GG15" i="8"/>
  <c r="GU15" i="8" s="1"/>
  <c r="FT15" i="8"/>
  <c r="FF15" i="8"/>
  <c r="ES15" i="8"/>
  <c r="EF15" i="8"/>
  <c r="DR15" i="8"/>
  <c r="DE15" i="8"/>
  <c r="DS15" i="8" s="1"/>
  <c r="CR15" i="8"/>
  <c r="CD15" i="8"/>
  <c r="BQ15" i="8"/>
  <c r="BD15" i="8"/>
  <c r="AP15" i="8"/>
  <c r="AC15" i="8"/>
  <c r="AQ15" i="8" s="1"/>
  <c r="P15" i="8"/>
  <c r="MX14" i="8"/>
  <c r="MK14" i="8"/>
  <c r="LX14" i="8"/>
  <c r="MY14" i="8" s="1"/>
  <c r="LJ14" i="8"/>
  <c r="KW14" i="8"/>
  <c r="KJ14" i="8"/>
  <c r="JV14" i="8"/>
  <c r="JI14" i="8"/>
  <c r="IV14" i="8"/>
  <c r="JW14" i="8" s="1"/>
  <c r="IH14" i="8"/>
  <c r="HU14" i="8"/>
  <c r="HH14" i="8"/>
  <c r="GT14" i="8"/>
  <c r="GG14" i="8"/>
  <c r="FT14" i="8"/>
  <c r="GU14" i="8" s="1"/>
  <c r="FF14" i="8"/>
  <c r="ES14" i="8"/>
  <c r="EF14" i="8"/>
  <c r="DR14" i="8"/>
  <c r="DE14" i="8"/>
  <c r="CR14" i="8"/>
  <c r="DS14" i="8" s="1"/>
  <c r="CD14" i="8"/>
  <c r="BQ14" i="8"/>
  <c r="BD14" i="8"/>
  <c r="AP14" i="8"/>
  <c r="AC14" i="8"/>
  <c r="P14" i="8"/>
  <c r="AQ14" i="8" s="1"/>
  <c r="MX13" i="8"/>
  <c r="MK13" i="8"/>
  <c r="LX13" i="8"/>
  <c r="LJ13" i="8"/>
  <c r="KW13" i="8"/>
  <c r="KJ13" i="8"/>
  <c r="LK13" i="8" s="1"/>
  <c r="JV13" i="8"/>
  <c r="JI13" i="8"/>
  <c r="IV13" i="8"/>
  <c r="IH13" i="8"/>
  <c r="HU13" i="8"/>
  <c r="HH13" i="8"/>
  <c r="II13" i="8" s="1"/>
  <c r="GT13" i="8"/>
  <c r="GG13" i="8"/>
  <c r="FT13" i="8"/>
  <c r="FF13" i="8"/>
  <c r="ES13" i="8"/>
  <c r="EF13" i="8"/>
  <c r="FG13" i="8" s="1"/>
  <c r="DR13" i="8"/>
  <c r="DE13" i="8"/>
  <c r="CR13" i="8"/>
  <c r="CD13" i="8"/>
  <c r="BQ13" i="8"/>
  <c r="BD13" i="8"/>
  <c r="CE13" i="8" s="1"/>
  <c r="AP13" i="8"/>
  <c r="AC13" i="8"/>
  <c r="P13" i="8"/>
  <c r="MX12" i="8"/>
  <c r="MK12" i="8"/>
  <c r="LX12" i="8"/>
  <c r="MY12" i="8" s="1"/>
  <c r="LJ12" i="8"/>
  <c r="KW12" i="8"/>
  <c r="KJ12" i="8"/>
  <c r="JV12" i="8"/>
  <c r="JI12" i="8"/>
  <c r="IV12" i="8"/>
  <c r="IH12" i="8"/>
  <c r="HU12" i="8"/>
  <c r="HH12" i="8"/>
  <c r="GT12" i="8"/>
  <c r="GG12" i="8"/>
  <c r="FT12" i="8"/>
  <c r="GU12" i="8" s="1"/>
  <c r="FF12" i="8"/>
  <c r="ES12" i="8"/>
  <c r="EF12" i="8"/>
  <c r="DR12" i="8"/>
  <c r="DE12" i="8"/>
  <c r="CR12" i="8"/>
  <c r="CD12" i="8"/>
  <c r="BQ12" i="8"/>
  <c r="BD12" i="8"/>
  <c r="AP12" i="8"/>
  <c r="AC12" i="8"/>
  <c r="P12" i="8"/>
  <c r="AQ12" i="8" s="1"/>
  <c r="MX11" i="8"/>
  <c r="MK11" i="8"/>
  <c r="LX11" i="8"/>
  <c r="LJ11" i="8"/>
  <c r="KW11" i="8"/>
  <c r="KJ11" i="8"/>
  <c r="LK11" i="8" s="1"/>
  <c r="JV11" i="8"/>
  <c r="JI11" i="8"/>
  <c r="IV11" i="8"/>
  <c r="IH11" i="8"/>
  <c r="HU11" i="8"/>
  <c r="HH11" i="8"/>
  <c r="II11" i="8" s="1"/>
  <c r="GT11" i="8"/>
  <c r="GG11" i="8"/>
  <c r="FT11" i="8"/>
  <c r="FF11" i="8"/>
  <c r="ES11" i="8"/>
  <c r="EF11" i="8"/>
  <c r="FG11" i="8" s="1"/>
  <c r="DR11" i="8"/>
  <c r="DE11" i="8"/>
  <c r="CR11" i="8"/>
  <c r="CD11" i="8"/>
  <c r="BQ11" i="8"/>
  <c r="BD11" i="8"/>
  <c r="CE11" i="8" s="1"/>
  <c r="AP11" i="8"/>
  <c r="AC11" i="8"/>
  <c r="P11" i="8"/>
  <c r="MX10" i="8"/>
  <c r="MK10" i="8"/>
  <c r="LX10" i="8"/>
  <c r="LJ10" i="8"/>
  <c r="KW10" i="8"/>
  <c r="KJ10" i="8"/>
  <c r="JV10" i="8"/>
  <c r="JI10" i="8"/>
  <c r="IV10" i="8"/>
  <c r="JW10" i="8" s="1"/>
  <c r="IH10" i="8"/>
  <c r="HU10" i="8"/>
  <c r="HH10" i="8"/>
  <c r="GT10" i="8"/>
  <c r="GG10" i="8"/>
  <c r="FT10" i="8"/>
  <c r="GU10" i="8" s="1"/>
  <c r="FF10" i="8"/>
  <c r="ES10" i="8"/>
  <c r="EF10" i="8"/>
  <c r="DR10" i="8"/>
  <c r="DE10" i="8"/>
  <c r="CR10" i="8"/>
  <c r="CD10" i="8"/>
  <c r="BQ10" i="8"/>
  <c r="BD10" i="8"/>
  <c r="AP10" i="8"/>
  <c r="AC10" i="8"/>
  <c r="P10" i="8"/>
  <c r="AQ10" i="8" s="1"/>
  <c r="MX9" i="8"/>
  <c r="MK9" i="8"/>
  <c r="LX9" i="8"/>
  <c r="LJ9" i="8"/>
  <c r="KW9" i="8"/>
  <c r="KJ9" i="8"/>
  <c r="LK9" i="8" s="1"/>
  <c r="JV9" i="8"/>
  <c r="JI9" i="8"/>
  <c r="IV9" i="8"/>
  <c r="IH9" i="8"/>
  <c r="HU9" i="8"/>
  <c r="HH9" i="8"/>
  <c r="II9" i="8" s="1"/>
  <c r="GT9" i="8"/>
  <c r="GG9" i="8"/>
  <c r="FT9" i="8"/>
  <c r="FF9" i="8"/>
  <c r="ES9" i="8"/>
  <c r="EF9" i="8"/>
  <c r="FG9" i="8" s="1"/>
  <c r="DR9" i="8"/>
  <c r="DE9" i="8"/>
  <c r="CR9" i="8"/>
  <c r="CD9" i="8"/>
  <c r="BQ9" i="8"/>
  <c r="BD9" i="8"/>
  <c r="CE9" i="8" s="1"/>
  <c r="AP9" i="8"/>
  <c r="AC9" i="8"/>
  <c r="P9" i="8"/>
  <c r="MX8" i="8"/>
  <c r="MK8" i="8"/>
  <c r="LX8" i="8"/>
  <c r="MY8" i="8" s="1"/>
  <c r="LJ8" i="8"/>
  <c r="KW8" i="8"/>
  <c r="KJ8" i="8"/>
  <c r="JV8" i="8"/>
  <c r="JI8" i="8"/>
  <c r="IV8" i="8"/>
  <c r="IH8" i="8"/>
  <c r="HU8" i="8"/>
  <c r="HH8" i="8"/>
  <c r="GT8" i="8"/>
  <c r="GG8" i="8"/>
  <c r="FT8" i="8"/>
  <c r="GU8" i="8" s="1"/>
  <c r="FF8" i="8"/>
  <c r="ES8" i="8"/>
  <c r="EF8" i="8"/>
  <c r="DR8" i="8"/>
  <c r="DE8" i="8"/>
  <c r="CR8" i="8"/>
  <c r="CD8" i="8"/>
  <c r="BQ8" i="8"/>
  <c r="BD8" i="8"/>
  <c r="AP8" i="8"/>
  <c r="AC8" i="8"/>
  <c r="P8" i="8"/>
  <c r="AQ8" i="8" s="1"/>
  <c r="MX7" i="8"/>
  <c r="MK7" i="8"/>
  <c r="LX7" i="8"/>
  <c r="LJ7" i="8"/>
  <c r="KW7" i="8"/>
  <c r="KJ7" i="8"/>
  <c r="LK7" i="8" s="1"/>
  <c r="JV7" i="8"/>
  <c r="JI7" i="8"/>
  <c r="IV7" i="8"/>
  <c r="IH7" i="8"/>
  <c r="HU7" i="8"/>
  <c r="HH7" i="8"/>
  <c r="GT7" i="8"/>
  <c r="GG7" i="8"/>
  <c r="FT7" i="8"/>
  <c r="FF7" i="8"/>
  <c r="ES7" i="8"/>
  <c r="EF7" i="8"/>
  <c r="FG7" i="8" s="1"/>
  <c r="DR7" i="8"/>
  <c r="DE7" i="8"/>
  <c r="CR7" i="8"/>
  <c r="CD7" i="8"/>
  <c r="BQ7" i="8"/>
  <c r="BD7" i="8"/>
  <c r="AP7" i="8"/>
  <c r="AC7" i="8"/>
  <c r="P7" i="8"/>
  <c r="MX6" i="8"/>
  <c r="MK6" i="8"/>
  <c r="LX6" i="8"/>
  <c r="MY6" i="8" s="1"/>
  <c r="LJ6" i="8"/>
  <c r="KW6" i="8"/>
  <c r="KJ6" i="8"/>
  <c r="JV6" i="8"/>
  <c r="JI6" i="8"/>
  <c r="IV6" i="8"/>
  <c r="IH6" i="8"/>
  <c r="HU6" i="8"/>
  <c r="HH6" i="8"/>
  <c r="GT6" i="8"/>
  <c r="GG6" i="8"/>
  <c r="FT6" i="8"/>
  <c r="FF6" i="8"/>
  <c r="ES6" i="8"/>
  <c r="EF6" i="8"/>
  <c r="DR6" i="8"/>
  <c r="DE6" i="8"/>
  <c r="CR6" i="8"/>
  <c r="CD6" i="8"/>
  <c r="BQ6" i="8"/>
  <c r="BD6" i="8"/>
  <c r="AP6" i="8"/>
  <c r="AC6" i="8"/>
  <c r="P6" i="8"/>
  <c r="OK40" i="6"/>
  <c r="OJ40" i="6"/>
  <c r="OI40" i="6"/>
  <c r="OH40" i="6"/>
  <c r="OG40" i="6"/>
  <c r="OF40" i="6"/>
  <c r="OE40" i="6"/>
  <c r="OD40" i="6"/>
  <c r="OC40" i="6"/>
  <c r="OB40" i="6"/>
  <c r="OA40" i="6"/>
  <c r="NZ40" i="6"/>
  <c r="NX40" i="6"/>
  <c r="NW40" i="6"/>
  <c r="NV40" i="6"/>
  <c r="NU40" i="6"/>
  <c r="NT40" i="6"/>
  <c r="NS40" i="6"/>
  <c r="NR40" i="6"/>
  <c r="NQ40" i="6"/>
  <c r="NP40" i="6"/>
  <c r="NO40" i="6"/>
  <c r="NN40" i="6"/>
  <c r="NM40" i="6"/>
  <c r="NK40" i="6"/>
  <c r="NJ40" i="6"/>
  <c r="NI40" i="6"/>
  <c r="NH40" i="6"/>
  <c r="NG40" i="6"/>
  <c r="NF40" i="6"/>
  <c r="NE40" i="6"/>
  <c r="ND40" i="6"/>
  <c r="NC40" i="6"/>
  <c r="NB40" i="6"/>
  <c r="NA40" i="6"/>
  <c r="MZ40" i="6"/>
  <c r="MW40" i="6"/>
  <c r="MV40" i="6"/>
  <c r="MU40" i="6"/>
  <c r="MT40" i="6"/>
  <c r="MS40" i="6"/>
  <c r="MR40" i="6"/>
  <c r="MQ40" i="6"/>
  <c r="MP40" i="6"/>
  <c r="MO40" i="6"/>
  <c r="MN40" i="6"/>
  <c r="MM40" i="6"/>
  <c r="ML40" i="6"/>
  <c r="MJ40" i="6"/>
  <c r="MI40" i="6"/>
  <c r="MH40" i="6"/>
  <c r="MG40" i="6"/>
  <c r="MF40" i="6"/>
  <c r="ME40" i="6"/>
  <c r="MD40" i="6"/>
  <c r="MC40" i="6"/>
  <c r="MB40" i="6"/>
  <c r="MA40" i="6"/>
  <c r="LZ40" i="6"/>
  <c r="LY40" i="6"/>
  <c r="LW40" i="6"/>
  <c r="LV40" i="6"/>
  <c r="LU40" i="6"/>
  <c r="LT40" i="6"/>
  <c r="LS40" i="6"/>
  <c r="LR40" i="6"/>
  <c r="LQ40" i="6"/>
  <c r="LP40" i="6"/>
  <c r="LO40" i="6"/>
  <c r="LN40" i="6"/>
  <c r="LM40" i="6"/>
  <c r="LL40" i="6"/>
  <c r="LI40" i="6"/>
  <c r="LH40" i="6"/>
  <c r="LG40" i="6"/>
  <c r="LF40" i="6"/>
  <c r="LE40" i="6"/>
  <c r="LD40" i="6"/>
  <c r="LC40" i="6"/>
  <c r="LB40" i="6"/>
  <c r="LA40" i="6"/>
  <c r="KZ40" i="6"/>
  <c r="KY40" i="6"/>
  <c r="KX40" i="6"/>
  <c r="KV40" i="6"/>
  <c r="KU40" i="6"/>
  <c r="KT40" i="6"/>
  <c r="KS40" i="6"/>
  <c r="KR40" i="6"/>
  <c r="KQ40" i="6"/>
  <c r="KP40" i="6"/>
  <c r="KO40" i="6"/>
  <c r="KN40" i="6"/>
  <c r="KM40" i="6"/>
  <c r="KL40" i="6"/>
  <c r="KK40" i="6"/>
  <c r="KI40" i="6"/>
  <c r="KH40" i="6"/>
  <c r="KG40" i="6"/>
  <c r="KF40" i="6"/>
  <c r="KE40" i="6"/>
  <c r="KD40" i="6"/>
  <c r="KC40" i="6"/>
  <c r="KB40" i="6"/>
  <c r="KA40" i="6"/>
  <c r="JZ40" i="6"/>
  <c r="JY40" i="6"/>
  <c r="JX40" i="6"/>
  <c r="JU40" i="6"/>
  <c r="JT40" i="6"/>
  <c r="JS40" i="6"/>
  <c r="JR40" i="6"/>
  <c r="JQ40" i="6"/>
  <c r="JP40" i="6"/>
  <c r="JO40" i="6"/>
  <c r="JN40" i="6"/>
  <c r="JM40" i="6"/>
  <c r="JL40" i="6"/>
  <c r="JK40" i="6"/>
  <c r="JJ40" i="6"/>
  <c r="JH40" i="6"/>
  <c r="JG40" i="6"/>
  <c r="JF40" i="6"/>
  <c r="JE40" i="6"/>
  <c r="JD40" i="6"/>
  <c r="JC40" i="6"/>
  <c r="JB40" i="6"/>
  <c r="JA40" i="6"/>
  <c r="IZ40" i="6"/>
  <c r="IY40" i="6"/>
  <c r="IX40" i="6"/>
  <c r="IW40" i="6"/>
  <c r="IU40" i="6"/>
  <c r="IT40" i="6"/>
  <c r="IS40" i="6"/>
  <c r="IR40" i="6"/>
  <c r="IQ40" i="6"/>
  <c r="IP40" i="6"/>
  <c r="IO40" i="6"/>
  <c r="IN40" i="6"/>
  <c r="IM40" i="6"/>
  <c r="IL40" i="6"/>
  <c r="IK40" i="6"/>
  <c r="IJ40" i="6"/>
  <c r="IG40" i="6"/>
  <c r="IF40" i="6"/>
  <c r="IE40" i="6"/>
  <c r="ID40" i="6"/>
  <c r="IC40" i="6"/>
  <c r="IB40" i="6"/>
  <c r="IA40" i="6"/>
  <c r="HZ40" i="6"/>
  <c r="HY40" i="6"/>
  <c r="HX40" i="6"/>
  <c r="HW40" i="6"/>
  <c r="HV40" i="6"/>
  <c r="HT40" i="6"/>
  <c r="HS40" i="6"/>
  <c r="HR40" i="6"/>
  <c r="HQ40" i="6"/>
  <c r="HP40" i="6"/>
  <c r="HO40" i="6"/>
  <c r="HN40" i="6"/>
  <c r="HM40" i="6"/>
  <c r="HL40" i="6"/>
  <c r="HK40" i="6"/>
  <c r="HJ40" i="6"/>
  <c r="HI40" i="6"/>
  <c r="HG40" i="6"/>
  <c r="HF40" i="6"/>
  <c r="HE40" i="6"/>
  <c r="HD40" i="6"/>
  <c r="HC40" i="6"/>
  <c r="HB40" i="6"/>
  <c r="HA40" i="6"/>
  <c r="GZ40" i="6"/>
  <c r="GY40" i="6"/>
  <c r="GX40" i="6"/>
  <c r="GW40" i="6"/>
  <c r="GV40" i="6"/>
  <c r="GS40" i="6"/>
  <c r="GR40" i="6"/>
  <c r="GQ40" i="6"/>
  <c r="GP40" i="6"/>
  <c r="GO40" i="6"/>
  <c r="GN40" i="6"/>
  <c r="GM40" i="6"/>
  <c r="GL40" i="6"/>
  <c r="GK40" i="6"/>
  <c r="GJ40" i="6"/>
  <c r="GI40" i="6"/>
  <c r="GH40" i="6"/>
  <c r="GF40" i="6"/>
  <c r="GE40" i="6"/>
  <c r="GD40" i="6"/>
  <c r="GC40" i="6"/>
  <c r="GB40" i="6"/>
  <c r="GA40" i="6"/>
  <c r="FZ40" i="6"/>
  <c r="FY40" i="6"/>
  <c r="FX40" i="6"/>
  <c r="FW40" i="6"/>
  <c r="FV40" i="6"/>
  <c r="FU40" i="6"/>
  <c r="FS40" i="6"/>
  <c r="FR40" i="6"/>
  <c r="FQ40" i="6"/>
  <c r="FP40" i="6"/>
  <c r="FO40" i="6"/>
  <c r="FN40" i="6"/>
  <c r="FM40" i="6"/>
  <c r="FL40" i="6"/>
  <c r="FK40" i="6"/>
  <c r="FJ40" i="6"/>
  <c r="FI40" i="6"/>
  <c r="FH40" i="6"/>
  <c r="FE40" i="6"/>
  <c r="FD40" i="6"/>
  <c r="FC40" i="6"/>
  <c r="FB40" i="6"/>
  <c r="FA40" i="6"/>
  <c r="EZ40" i="6"/>
  <c r="EY40" i="6"/>
  <c r="EX40" i="6"/>
  <c r="EW40" i="6"/>
  <c r="EV40" i="6"/>
  <c r="EU40" i="6"/>
  <c r="ET40" i="6"/>
  <c r="ER40" i="6"/>
  <c r="EQ40" i="6"/>
  <c r="EP40" i="6"/>
  <c r="EO40" i="6"/>
  <c r="EN40" i="6"/>
  <c r="EM40" i="6"/>
  <c r="EL40" i="6"/>
  <c r="EK40" i="6"/>
  <c r="EJ40" i="6"/>
  <c r="EI40" i="6"/>
  <c r="EH40" i="6"/>
  <c r="EG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B40" i="6"/>
  <c r="AA40" i="6"/>
  <c r="Z40" i="6"/>
  <c r="Y40" i="6"/>
  <c r="X40" i="6"/>
  <c r="W40" i="6"/>
  <c r="V40" i="6"/>
  <c r="U40" i="6"/>
  <c r="T40" i="6"/>
  <c r="S40" i="6"/>
  <c r="R40" i="6"/>
  <c r="Q40" i="6"/>
  <c r="O40" i="6"/>
  <c r="N40" i="6"/>
  <c r="M40" i="6"/>
  <c r="L40" i="6"/>
  <c r="K40" i="6"/>
  <c r="J40" i="6"/>
  <c r="I40" i="6"/>
  <c r="H40" i="6"/>
  <c r="G40" i="6"/>
  <c r="F40" i="6"/>
  <c r="E40" i="6"/>
  <c r="D40" i="6"/>
  <c r="OL39" i="6"/>
  <c r="NY39" i="6"/>
  <c r="NL39" i="6"/>
  <c r="MX39" i="6"/>
  <c r="MK39" i="6"/>
  <c r="LX39" i="6"/>
  <c r="LJ39" i="6"/>
  <c r="KW39" i="6"/>
  <c r="LK39" i="6" s="1"/>
  <c r="KJ39" i="6"/>
  <c r="JV39" i="6"/>
  <c r="JI39" i="6"/>
  <c r="IV39" i="6"/>
  <c r="IH39" i="6"/>
  <c r="HU39" i="6"/>
  <c r="II39" i="6" s="1"/>
  <c r="HH39" i="6"/>
  <c r="GT39" i="6"/>
  <c r="GG39" i="6"/>
  <c r="FT39" i="6"/>
  <c r="FF39" i="6"/>
  <c r="ES39" i="6"/>
  <c r="FG39" i="6" s="1"/>
  <c r="EF39" i="6"/>
  <c r="DR39" i="6"/>
  <c r="DE39" i="6"/>
  <c r="CR39" i="6"/>
  <c r="CD39" i="6"/>
  <c r="BQ39" i="6"/>
  <c r="CE39" i="6" s="1"/>
  <c r="BD39" i="6"/>
  <c r="AP39" i="6"/>
  <c r="AC39" i="6"/>
  <c r="P39" i="6"/>
  <c r="OL38" i="6"/>
  <c r="NY38" i="6"/>
  <c r="NL38" i="6"/>
  <c r="MX38" i="6"/>
  <c r="MK38" i="6"/>
  <c r="LX38" i="6"/>
  <c r="MY38" i="6" s="1"/>
  <c r="LJ38" i="6"/>
  <c r="KW38" i="6"/>
  <c r="KJ38" i="6"/>
  <c r="JV38" i="6"/>
  <c r="JI38" i="6"/>
  <c r="IV38" i="6"/>
  <c r="JW38" i="6" s="1"/>
  <c r="IH38" i="6"/>
  <c r="HU38" i="6"/>
  <c r="HH38" i="6"/>
  <c r="GT38" i="6"/>
  <c r="GG38" i="6"/>
  <c r="FT38" i="6"/>
  <c r="GU38" i="6" s="1"/>
  <c r="FF38" i="6"/>
  <c r="ES38" i="6"/>
  <c r="EF38" i="6"/>
  <c r="DR38" i="6"/>
  <c r="DE38" i="6"/>
  <c r="CR38" i="6"/>
  <c r="DS38" i="6" s="1"/>
  <c r="CD38" i="6"/>
  <c r="BQ38" i="6"/>
  <c r="BD38" i="6"/>
  <c r="AP38" i="6"/>
  <c r="AC38" i="6"/>
  <c r="P38" i="6"/>
  <c r="AQ38" i="6" s="1"/>
  <c r="OL37" i="6"/>
  <c r="NY37" i="6"/>
  <c r="NL37" i="6"/>
  <c r="MX37" i="6"/>
  <c r="MK37" i="6"/>
  <c r="LX37" i="6"/>
  <c r="LJ37" i="6"/>
  <c r="KW37" i="6"/>
  <c r="LK37" i="6" s="1"/>
  <c r="KJ37" i="6"/>
  <c r="JV37" i="6"/>
  <c r="JI37" i="6"/>
  <c r="IV37" i="6"/>
  <c r="IH37" i="6"/>
  <c r="HU37" i="6"/>
  <c r="II37" i="6" s="1"/>
  <c r="HH37" i="6"/>
  <c r="GT37" i="6"/>
  <c r="GG37" i="6"/>
  <c r="FT37" i="6"/>
  <c r="FF37" i="6"/>
  <c r="ES37" i="6"/>
  <c r="FG37" i="6" s="1"/>
  <c r="EF37" i="6"/>
  <c r="DR37" i="6"/>
  <c r="DE37" i="6"/>
  <c r="CR37" i="6"/>
  <c r="CD37" i="6"/>
  <c r="BQ37" i="6"/>
  <c r="CE37" i="6" s="1"/>
  <c r="BD37" i="6"/>
  <c r="AP37" i="6"/>
  <c r="AC37" i="6"/>
  <c r="P37" i="6"/>
  <c r="OL36" i="6"/>
  <c r="NY36" i="6"/>
  <c r="NL36" i="6"/>
  <c r="MX36" i="6"/>
  <c r="MK36" i="6"/>
  <c r="LX36" i="6"/>
  <c r="MY36" i="6" s="1"/>
  <c r="LJ36" i="6"/>
  <c r="KW36" i="6"/>
  <c r="KJ36" i="6"/>
  <c r="JV36" i="6"/>
  <c r="JI36" i="6"/>
  <c r="IV36" i="6"/>
  <c r="JW36" i="6" s="1"/>
  <c r="IH36" i="6"/>
  <c r="HU36" i="6"/>
  <c r="HH36" i="6"/>
  <c r="GT36" i="6"/>
  <c r="GG36" i="6"/>
  <c r="FT36" i="6"/>
  <c r="GU36" i="6" s="1"/>
  <c r="FF36" i="6"/>
  <c r="ES36" i="6"/>
  <c r="EF36" i="6"/>
  <c r="DR36" i="6"/>
  <c r="DE36" i="6"/>
  <c r="CR36" i="6"/>
  <c r="DS36" i="6" s="1"/>
  <c r="CD36" i="6"/>
  <c r="BQ36" i="6"/>
  <c r="BD36" i="6"/>
  <c r="AP36" i="6"/>
  <c r="AC36" i="6"/>
  <c r="P36" i="6"/>
  <c r="AQ36" i="6" s="1"/>
  <c r="OL35" i="6"/>
  <c r="NY35" i="6"/>
  <c r="NL35" i="6"/>
  <c r="MX35" i="6"/>
  <c r="MK35" i="6"/>
  <c r="LX35" i="6"/>
  <c r="LJ35" i="6"/>
  <c r="KW35" i="6"/>
  <c r="LK35" i="6" s="1"/>
  <c r="KJ35" i="6"/>
  <c r="JV35" i="6"/>
  <c r="JI35" i="6"/>
  <c r="IV35" i="6"/>
  <c r="IH35" i="6"/>
  <c r="HU35" i="6"/>
  <c r="HH35" i="6"/>
  <c r="GT35" i="6"/>
  <c r="GG35" i="6"/>
  <c r="FT35" i="6"/>
  <c r="FF35" i="6"/>
  <c r="ES35" i="6"/>
  <c r="EF35" i="6"/>
  <c r="DR35" i="6"/>
  <c r="DE35" i="6"/>
  <c r="CR35" i="6"/>
  <c r="CD35" i="6"/>
  <c r="BQ35" i="6"/>
  <c r="CE35" i="6" s="1"/>
  <c r="BD35" i="6"/>
  <c r="AP35" i="6"/>
  <c r="AC35" i="6"/>
  <c r="P35" i="6"/>
  <c r="OL34" i="6"/>
  <c r="NY34" i="6"/>
  <c r="NL34" i="6"/>
  <c r="MX34" i="6"/>
  <c r="MK34" i="6"/>
  <c r="LX34" i="6"/>
  <c r="LJ34" i="6"/>
  <c r="KW34" i="6"/>
  <c r="KJ34" i="6"/>
  <c r="JV34" i="6"/>
  <c r="JI34" i="6"/>
  <c r="IV34" i="6"/>
  <c r="JW34" i="6" s="1"/>
  <c r="IH34" i="6"/>
  <c r="HU34" i="6"/>
  <c r="HH34" i="6"/>
  <c r="GT34" i="6"/>
  <c r="GG34" i="6"/>
  <c r="FT34" i="6"/>
  <c r="GU34" i="6" s="1"/>
  <c r="FF34" i="6"/>
  <c r="ES34" i="6"/>
  <c r="EF34" i="6"/>
  <c r="DR34" i="6"/>
  <c r="DE34" i="6"/>
  <c r="CR34" i="6"/>
  <c r="DS34" i="6" s="1"/>
  <c r="CD34" i="6"/>
  <c r="BQ34" i="6"/>
  <c r="BD34" i="6"/>
  <c r="AP34" i="6"/>
  <c r="AC34" i="6"/>
  <c r="P34" i="6"/>
  <c r="OL33" i="6"/>
  <c r="NY33" i="6"/>
  <c r="NL33" i="6"/>
  <c r="MX33" i="6"/>
  <c r="MK33" i="6"/>
  <c r="LX33" i="6"/>
  <c r="LJ33" i="6"/>
  <c r="KW33" i="6"/>
  <c r="LK33" i="6" s="1"/>
  <c r="KJ33" i="6"/>
  <c r="JV33" i="6"/>
  <c r="JI33" i="6"/>
  <c r="IV33" i="6"/>
  <c r="IH33" i="6"/>
  <c r="HU33" i="6"/>
  <c r="HH33" i="6"/>
  <c r="GT33" i="6"/>
  <c r="GG33" i="6"/>
  <c r="FT33" i="6"/>
  <c r="FF33" i="6"/>
  <c r="ES33" i="6"/>
  <c r="EF33" i="6"/>
  <c r="DR33" i="6"/>
  <c r="DE33" i="6"/>
  <c r="CR33" i="6"/>
  <c r="CD33" i="6"/>
  <c r="BQ33" i="6"/>
  <c r="CE33" i="6" s="1"/>
  <c r="BD33" i="6"/>
  <c r="AP33" i="6"/>
  <c r="AC33" i="6"/>
  <c r="P33" i="6"/>
  <c r="OL32" i="6"/>
  <c r="NY32" i="6"/>
  <c r="NL32" i="6"/>
  <c r="MX32" i="6"/>
  <c r="MK32" i="6"/>
  <c r="LX32" i="6"/>
  <c r="MY32" i="6" s="1"/>
  <c r="LJ32" i="6"/>
  <c r="KW32" i="6"/>
  <c r="KJ32" i="6"/>
  <c r="JV32" i="6"/>
  <c r="JI32" i="6"/>
  <c r="IV32" i="6"/>
  <c r="JW32" i="6" s="1"/>
  <c r="IH32" i="6"/>
  <c r="HU32" i="6"/>
  <c r="HH32" i="6"/>
  <c r="GT32" i="6"/>
  <c r="GG32" i="6"/>
  <c r="FT32" i="6"/>
  <c r="FF32" i="6"/>
  <c r="ES32" i="6"/>
  <c r="EF32" i="6"/>
  <c r="DR32" i="6"/>
  <c r="DE32" i="6"/>
  <c r="CR32" i="6"/>
  <c r="DS32" i="6" s="1"/>
  <c r="CD32" i="6"/>
  <c r="BQ32" i="6"/>
  <c r="BD32" i="6"/>
  <c r="AP32" i="6"/>
  <c r="AC32" i="6"/>
  <c r="P32" i="6"/>
  <c r="AQ32" i="6" s="1"/>
  <c r="OL31" i="6"/>
  <c r="NY31" i="6"/>
  <c r="NL31" i="6"/>
  <c r="MX31" i="6"/>
  <c r="MK31" i="6"/>
  <c r="LX31" i="6"/>
  <c r="LJ31" i="6"/>
  <c r="KW31" i="6"/>
  <c r="LK31" i="6" s="1"/>
  <c r="KJ31" i="6"/>
  <c r="JV31" i="6"/>
  <c r="JI31" i="6"/>
  <c r="IV31" i="6"/>
  <c r="IH31" i="6"/>
  <c r="HU31" i="6"/>
  <c r="HH31" i="6"/>
  <c r="GT31" i="6"/>
  <c r="GG31" i="6"/>
  <c r="FT31" i="6"/>
  <c r="FF31" i="6"/>
  <c r="ES31" i="6"/>
  <c r="EF31" i="6"/>
  <c r="DR31" i="6"/>
  <c r="DE31" i="6"/>
  <c r="CR31" i="6"/>
  <c r="CD31" i="6"/>
  <c r="BQ31" i="6"/>
  <c r="CE31" i="6" s="1"/>
  <c r="BD31" i="6"/>
  <c r="AP31" i="6"/>
  <c r="AC31" i="6"/>
  <c r="P31" i="6"/>
  <c r="OL30" i="6"/>
  <c r="NY30" i="6"/>
  <c r="NL30" i="6"/>
  <c r="MX30" i="6"/>
  <c r="MK30" i="6"/>
  <c r="LX30" i="6"/>
  <c r="LJ30" i="6"/>
  <c r="KW30" i="6"/>
  <c r="KJ30" i="6"/>
  <c r="JV30" i="6"/>
  <c r="JI30" i="6"/>
  <c r="IV30" i="6"/>
  <c r="JW30" i="6" s="1"/>
  <c r="IH30" i="6"/>
  <c r="HU30" i="6"/>
  <c r="HH30" i="6"/>
  <c r="GT30" i="6"/>
  <c r="GG30" i="6"/>
  <c r="FT30" i="6"/>
  <c r="FF30" i="6"/>
  <c r="ES30" i="6"/>
  <c r="EF30" i="6"/>
  <c r="DR30" i="6"/>
  <c r="DE30" i="6"/>
  <c r="CR30" i="6"/>
  <c r="DS30" i="6" s="1"/>
  <c r="CD30" i="6"/>
  <c r="BQ30" i="6"/>
  <c r="BD30" i="6"/>
  <c r="AP30" i="6"/>
  <c r="AC30" i="6"/>
  <c r="P30" i="6"/>
  <c r="OL29" i="6"/>
  <c r="NY29" i="6"/>
  <c r="NL29" i="6"/>
  <c r="MX29" i="6"/>
  <c r="MK29" i="6"/>
  <c r="LX29" i="6"/>
  <c r="LJ29" i="6"/>
  <c r="KW29" i="6"/>
  <c r="LK29" i="6" s="1"/>
  <c r="KJ29" i="6"/>
  <c r="JV29" i="6"/>
  <c r="JI29" i="6"/>
  <c r="IV29" i="6"/>
  <c r="IH29" i="6"/>
  <c r="HU29" i="6"/>
  <c r="HH29" i="6"/>
  <c r="GT29" i="6"/>
  <c r="GG29" i="6"/>
  <c r="FT29" i="6"/>
  <c r="FF29" i="6"/>
  <c r="ES29" i="6"/>
  <c r="EF29" i="6"/>
  <c r="DR29" i="6"/>
  <c r="DE29" i="6"/>
  <c r="CR29" i="6"/>
  <c r="CD29" i="6"/>
  <c r="BQ29" i="6"/>
  <c r="CE29" i="6" s="1"/>
  <c r="BD29" i="6"/>
  <c r="AP29" i="6"/>
  <c r="AC29" i="6"/>
  <c r="P29" i="6"/>
  <c r="OL28" i="6"/>
  <c r="NY28" i="6"/>
  <c r="NL28" i="6"/>
  <c r="MX28" i="6"/>
  <c r="MK28" i="6"/>
  <c r="LX28" i="6"/>
  <c r="MY28" i="6" s="1"/>
  <c r="LJ28" i="6"/>
  <c r="KW28" i="6"/>
  <c r="KJ28" i="6"/>
  <c r="JV28" i="6"/>
  <c r="JI28" i="6"/>
  <c r="IV28" i="6"/>
  <c r="JW28" i="6" s="1"/>
  <c r="IH28" i="6"/>
  <c r="HU28" i="6"/>
  <c r="HH28" i="6"/>
  <c r="GT28" i="6"/>
  <c r="GG28" i="6"/>
  <c r="FT28" i="6"/>
  <c r="FF28" i="6"/>
  <c r="ES28" i="6"/>
  <c r="EF28" i="6"/>
  <c r="DR28" i="6"/>
  <c r="DE28" i="6"/>
  <c r="CR28" i="6"/>
  <c r="DS28" i="6" s="1"/>
  <c r="CD28" i="6"/>
  <c r="BQ28" i="6"/>
  <c r="BD28" i="6"/>
  <c r="AP28" i="6"/>
  <c r="AC28" i="6"/>
  <c r="P28" i="6"/>
  <c r="AQ28" i="6" s="1"/>
  <c r="OL27" i="6"/>
  <c r="NY27" i="6"/>
  <c r="NL27" i="6"/>
  <c r="MX27" i="6"/>
  <c r="MK27" i="6"/>
  <c r="LX27" i="6"/>
  <c r="LJ27" i="6"/>
  <c r="KW27" i="6"/>
  <c r="LK27" i="6" s="1"/>
  <c r="KJ27" i="6"/>
  <c r="JV27" i="6"/>
  <c r="JI27" i="6"/>
  <c r="IV27" i="6"/>
  <c r="IH27" i="6"/>
  <c r="HU27" i="6"/>
  <c r="HH27" i="6"/>
  <c r="GT27" i="6"/>
  <c r="GG27" i="6"/>
  <c r="FT27" i="6"/>
  <c r="FF27" i="6"/>
  <c r="ES27" i="6"/>
  <c r="EF27" i="6"/>
  <c r="DR27" i="6"/>
  <c r="DE27" i="6"/>
  <c r="CR27" i="6"/>
  <c r="CD27" i="6"/>
  <c r="BQ27" i="6"/>
  <c r="CE27" i="6" s="1"/>
  <c r="BD27" i="6"/>
  <c r="AP27" i="6"/>
  <c r="AC27" i="6"/>
  <c r="P27" i="6"/>
  <c r="OL26" i="6"/>
  <c r="NY26" i="6"/>
  <c r="NL26" i="6"/>
  <c r="MX26" i="6"/>
  <c r="MK26" i="6"/>
  <c r="LX26" i="6"/>
  <c r="MY26" i="6" s="1"/>
  <c r="LJ26" i="6"/>
  <c r="KW26" i="6"/>
  <c r="KJ26" i="6"/>
  <c r="JV26" i="6"/>
  <c r="JI26" i="6"/>
  <c r="IV26" i="6"/>
  <c r="JW26" i="6" s="1"/>
  <c r="IH26" i="6"/>
  <c r="HU26" i="6"/>
  <c r="HH26" i="6"/>
  <c r="GT26" i="6"/>
  <c r="GG26" i="6"/>
  <c r="FT26" i="6"/>
  <c r="GU26" i="6" s="1"/>
  <c r="FF26" i="6"/>
  <c r="ES26" i="6"/>
  <c r="EF26" i="6"/>
  <c r="DR26" i="6"/>
  <c r="DE26" i="6"/>
  <c r="CR26" i="6"/>
  <c r="DS26" i="6" s="1"/>
  <c r="CD26" i="6"/>
  <c r="BQ26" i="6"/>
  <c r="BD26" i="6"/>
  <c r="AP26" i="6"/>
  <c r="AC26" i="6"/>
  <c r="P26" i="6"/>
  <c r="AQ26" i="6" s="1"/>
  <c r="OL25" i="6"/>
  <c r="NY25" i="6"/>
  <c r="NL25" i="6"/>
  <c r="MX25" i="6"/>
  <c r="MK25" i="6"/>
  <c r="LX25" i="6"/>
  <c r="LJ25" i="6"/>
  <c r="KW25" i="6"/>
  <c r="KJ25" i="6"/>
  <c r="JV25" i="6"/>
  <c r="JI25" i="6"/>
  <c r="IV25" i="6"/>
  <c r="IH25" i="6"/>
  <c r="HU25" i="6"/>
  <c r="HH25" i="6"/>
  <c r="GT25" i="6"/>
  <c r="GG25" i="6"/>
  <c r="FT25" i="6"/>
  <c r="FF25" i="6"/>
  <c r="ES25" i="6"/>
  <c r="EF25" i="6"/>
  <c r="DR25" i="6"/>
  <c r="DE25" i="6"/>
  <c r="CR25" i="6"/>
  <c r="CD25" i="6"/>
  <c r="BQ25" i="6"/>
  <c r="CE25" i="6" s="1"/>
  <c r="BD25" i="6"/>
  <c r="AP25" i="6"/>
  <c r="AC25" i="6"/>
  <c r="P25" i="6"/>
  <c r="OL24" i="6"/>
  <c r="NY24" i="6"/>
  <c r="NL24" i="6"/>
  <c r="MX24" i="6"/>
  <c r="MK24" i="6"/>
  <c r="LX24" i="6"/>
  <c r="LJ24" i="6"/>
  <c r="KW24" i="6"/>
  <c r="KJ24" i="6"/>
  <c r="JV24" i="6"/>
  <c r="JI24" i="6"/>
  <c r="IV24" i="6"/>
  <c r="JW24" i="6" s="1"/>
  <c r="IH24" i="6"/>
  <c r="HU24" i="6"/>
  <c r="HH24" i="6"/>
  <c r="GT24" i="6"/>
  <c r="GG24" i="6"/>
  <c r="FT24" i="6"/>
  <c r="FF24" i="6"/>
  <c r="ES24" i="6"/>
  <c r="EF24" i="6"/>
  <c r="DR24" i="6"/>
  <c r="DE24" i="6"/>
  <c r="CR24" i="6"/>
  <c r="DS24" i="6" s="1"/>
  <c r="CD24" i="6"/>
  <c r="BQ24" i="6"/>
  <c r="BD24" i="6"/>
  <c r="AP24" i="6"/>
  <c r="AC24" i="6"/>
  <c r="P24" i="6"/>
  <c r="AQ24" i="6" s="1"/>
  <c r="OL23" i="6"/>
  <c r="NY23" i="6"/>
  <c r="NL23" i="6"/>
  <c r="MX23" i="6"/>
  <c r="MK23" i="6"/>
  <c r="LX23" i="6"/>
  <c r="LJ23" i="6"/>
  <c r="KW23" i="6"/>
  <c r="LK23" i="6" s="1"/>
  <c r="KJ23" i="6"/>
  <c r="JV23" i="6"/>
  <c r="JI23" i="6"/>
  <c r="IV23" i="6"/>
  <c r="IH23" i="6"/>
  <c r="HU23" i="6"/>
  <c r="HH23" i="6"/>
  <c r="GT23" i="6"/>
  <c r="GG23" i="6"/>
  <c r="FT23" i="6"/>
  <c r="FF23" i="6"/>
  <c r="ES23" i="6"/>
  <c r="EF23" i="6"/>
  <c r="DR23" i="6"/>
  <c r="DE23" i="6"/>
  <c r="CR23" i="6"/>
  <c r="CD23" i="6"/>
  <c r="BQ23" i="6"/>
  <c r="CE23" i="6" s="1"/>
  <c r="BD23" i="6"/>
  <c r="AP23" i="6"/>
  <c r="AC23" i="6"/>
  <c r="P23" i="6"/>
  <c r="OL22" i="6"/>
  <c r="NY22" i="6"/>
  <c r="NL22" i="6"/>
  <c r="MX22" i="6"/>
  <c r="MK22" i="6"/>
  <c r="LX22" i="6"/>
  <c r="LJ22" i="6"/>
  <c r="KW22" i="6"/>
  <c r="KJ22" i="6"/>
  <c r="JV22" i="6"/>
  <c r="JI22" i="6"/>
  <c r="IV22" i="6"/>
  <c r="JW22" i="6" s="1"/>
  <c r="IH22" i="6"/>
  <c r="HU22" i="6"/>
  <c r="HH22" i="6"/>
  <c r="GT22" i="6"/>
  <c r="GG22" i="6"/>
  <c r="FT22" i="6"/>
  <c r="FF22" i="6"/>
  <c r="ES22" i="6"/>
  <c r="EF22" i="6"/>
  <c r="DR22" i="6"/>
  <c r="DE22" i="6"/>
  <c r="CR22" i="6"/>
  <c r="DS22" i="6" s="1"/>
  <c r="CD22" i="6"/>
  <c r="BQ22" i="6"/>
  <c r="BD22" i="6"/>
  <c r="AP22" i="6"/>
  <c r="AC22" i="6"/>
  <c r="P22" i="6"/>
  <c r="AQ22" i="6" s="1"/>
  <c r="OL21" i="6"/>
  <c r="NY21" i="6"/>
  <c r="NL21" i="6"/>
  <c r="MX21" i="6"/>
  <c r="MK21" i="6"/>
  <c r="LX21" i="6"/>
  <c r="LJ21" i="6"/>
  <c r="KW21" i="6"/>
  <c r="KJ21" i="6"/>
  <c r="JV21" i="6"/>
  <c r="JI21" i="6"/>
  <c r="IV21" i="6"/>
  <c r="IH21" i="6"/>
  <c r="HU21" i="6"/>
  <c r="HH21" i="6"/>
  <c r="GT21" i="6"/>
  <c r="GG21" i="6"/>
  <c r="FT21" i="6"/>
  <c r="FF21" i="6"/>
  <c r="ES21" i="6"/>
  <c r="EF21" i="6"/>
  <c r="DR21" i="6"/>
  <c r="DE21" i="6"/>
  <c r="CR21" i="6"/>
  <c r="CD21" i="6"/>
  <c r="BQ21" i="6"/>
  <c r="CE21" i="6" s="1"/>
  <c r="BD21" i="6"/>
  <c r="AP21" i="6"/>
  <c r="AC21" i="6"/>
  <c r="P21" i="6"/>
  <c r="OL20" i="6"/>
  <c r="NY20" i="6"/>
  <c r="NL20" i="6"/>
  <c r="MX20" i="6"/>
  <c r="MK20" i="6"/>
  <c r="LX20" i="6"/>
  <c r="MY20" i="6" s="1"/>
  <c r="LJ20" i="6"/>
  <c r="KW20" i="6"/>
  <c r="KJ20" i="6"/>
  <c r="JV20" i="6"/>
  <c r="JI20" i="6"/>
  <c r="IV20" i="6"/>
  <c r="JW20" i="6" s="1"/>
  <c r="IH20" i="6"/>
  <c r="HU20" i="6"/>
  <c r="HH20" i="6"/>
  <c r="GT20" i="6"/>
  <c r="GG20" i="6"/>
  <c r="FT20" i="6"/>
  <c r="FF20" i="6"/>
  <c r="ES20" i="6"/>
  <c r="EF20" i="6"/>
  <c r="DR20" i="6"/>
  <c r="DE20" i="6"/>
  <c r="CR20" i="6"/>
  <c r="DS20" i="6" s="1"/>
  <c r="CD20" i="6"/>
  <c r="BQ20" i="6"/>
  <c r="BD20" i="6"/>
  <c r="AP20" i="6"/>
  <c r="AC20" i="6"/>
  <c r="P20" i="6"/>
  <c r="AQ20" i="6" s="1"/>
  <c r="OL19" i="6"/>
  <c r="NY19" i="6"/>
  <c r="NL19" i="6"/>
  <c r="MX19" i="6"/>
  <c r="MK19" i="6"/>
  <c r="LX19" i="6"/>
  <c r="LJ19" i="6"/>
  <c r="KW19" i="6"/>
  <c r="LK19" i="6" s="1"/>
  <c r="KJ19" i="6"/>
  <c r="JV19" i="6"/>
  <c r="JI19" i="6"/>
  <c r="IV19" i="6"/>
  <c r="IH19" i="6"/>
  <c r="HU19" i="6"/>
  <c r="HH19" i="6"/>
  <c r="GT19" i="6"/>
  <c r="GG19" i="6"/>
  <c r="FT19" i="6"/>
  <c r="FF19" i="6"/>
  <c r="ES19" i="6"/>
  <c r="EF19" i="6"/>
  <c r="DR19" i="6"/>
  <c r="DE19" i="6"/>
  <c r="CR19" i="6"/>
  <c r="CD19" i="6"/>
  <c r="BQ19" i="6"/>
  <c r="CE19" i="6" s="1"/>
  <c r="BD19" i="6"/>
  <c r="AP19" i="6"/>
  <c r="AC19" i="6"/>
  <c r="P19" i="6"/>
  <c r="OL18" i="6"/>
  <c r="NY18" i="6"/>
  <c r="NL18" i="6"/>
  <c r="MX18" i="6"/>
  <c r="MK18" i="6"/>
  <c r="LX18" i="6"/>
  <c r="LJ18" i="6"/>
  <c r="KW18" i="6"/>
  <c r="KJ18" i="6"/>
  <c r="JV18" i="6"/>
  <c r="JI18" i="6"/>
  <c r="IV18" i="6"/>
  <c r="JW18" i="6" s="1"/>
  <c r="IH18" i="6"/>
  <c r="HU18" i="6"/>
  <c r="HH18" i="6"/>
  <c r="GT18" i="6"/>
  <c r="GG18" i="6"/>
  <c r="FT18" i="6"/>
  <c r="FF18" i="6"/>
  <c r="ES18" i="6"/>
  <c r="EF18" i="6"/>
  <c r="DR18" i="6"/>
  <c r="DE18" i="6"/>
  <c r="CR18" i="6"/>
  <c r="DS18" i="6" s="1"/>
  <c r="CD18" i="6"/>
  <c r="BQ18" i="6"/>
  <c r="BD18" i="6"/>
  <c r="AP18" i="6"/>
  <c r="AC18" i="6"/>
  <c r="P18" i="6"/>
  <c r="AQ18" i="6" s="1"/>
  <c r="OL17" i="6"/>
  <c r="NY17" i="6"/>
  <c r="NL17" i="6"/>
  <c r="MX17" i="6"/>
  <c r="MK17" i="6"/>
  <c r="LX17" i="6"/>
  <c r="LJ17" i="6"/>
  <c r="KW17" i="6"/>
  <c r="KJ17" i="6"/>
  <c r="JV17" i="6"/>
  <c r="JI17" i="6"/>
  <c r="IV17" i="6"/>
  <c r="IH17" i="6"/>
  <c r="HU17" i="6"/>
  <c r="HH17" i="6"/>
  <c r="GT17" i="6"/>
  <c r="GG17" i="6"/>
  <c r="FT17" i="6"/>
  <c r="FF17" i="6"/>
  <c r="ES17" i="6"/>
  <c r="EF17" i="6"/>
  <c r="DR17" i="6"/>
  <c r="DE17" i="6"/>
  <c r="CR17" i="6"/>
  <c r="CD17" i="6"/>
  <c r="BQ17" i="6"/>
  <c r="CE17" i="6" s="1"/>
  <c r="BD17" i="6"/>
  <c r="AP17" i="6"/>
  <c r="AC17" i="6"/>
  <c r="P17" i="6"/>
  <c r="OL16" i="6"/>
  <c r="NY16" i="6"/>
  <c r="NL16" i="6"/>
  <c r="MX16" i="6"/>
  <c r="MK16" i="6"/>
  <c r="LX16" i="6"/>
  <c r="MY16" i="6" s="1"/>
  <c r="LJ16" i="6"/>
  <c r="KW16" i="6"/>
  <c r="KJ16" i="6"/>
  <c r="JV16" i="6"/>
  <c r="JI16" i="6"/>
  <c r="IV16" i="6"/>
  <c r="JW16" i="6" s="1"/>
  <c r="IH16" i="6"/>
  <c r="HU16" i="6"/>
  <c r="HH16" i="6"/>
  <c r="GT16" i="6"/>
  <c r="GG16" i="6"/>
  <c r="FT16" i="6"/>
  <c r="GU16" i="6" s="1"/>
  <c r="FF16" i="6"/>
  <c r="ES16" i="6"/>
  <c r="EF16" i="6"/>
  <c r="DR16" i="6"/>
  <c r="DE16" i="6"/>
  <c r="CR16" i="6"/>
  <c r="DS16" i="6" s="1"/>
  <c r="CD16" i="6"/>
  <c r="BQ16" i="6"/>
  <c r="BD16" i="6"/>
  <c r="AP16" i="6"/>
  <c r="AC16" i="6"/>
  <c r="P16" i="6"/>
  <c r="AQ16" i="6" s="1"/>
  <c r="OL15" i="6"/>
  <c r="NY15" i="6"/>
  <c r="NL15" i="6"/>
  <c r="MX15" i="6"/>
  <c r="MK15" i="6"/>
  <c r="LX15" i="6"/>
  <c r="LJ15" i="6"/>
  <c r="KW15" i="6"/>
  <c r="LK15" i="6" s="1"/>
  <c r="KJ15" i="6"/>
  <c r="JV15" i="6"/>
  <c r="JI15" i="6"/>
  <c r="IV15" i="6"/>
  <c r="IH15" i="6"/>
  <c r="HU15" i="6"/>
  <c r="HH15" i="6"/>
  <c r="GT15" i="6"/>
  <c r="GG15" i="6"/>
  <c r="FT15" i="6"/>
  <c r="FF15" i="6"/>
  <c r="ES15" i="6"/>
  <c r="FG15" i="6" s="1"/>
  <c r="EF15" i="6"/>
  <c r="DR15" i="6"/>
  <c r="DE15" i="6"/>
  <c r="CR15" i="6"/>
  <c r="CD15" i="6"/>
  <c r="BQ15" i="6"/>
  <c r="CE15" i="6" s="1"/>
  <c r="BD15" i="6"/>
  <c r="AP15" i="6"/>
  <c r="AC15" i="6"/>
  <c r="P15" i="6"/>
  <c r="OL14" i="6"/>
  <c r="NY14" i="6"/>
  <c r="NL14" i="6"/>
  <c r="MX14" i="6"/>
  <c r="MK14" i="6"/>
  <c r="LX14" i="6"/>
  <c r="LJ14" i="6"/>
  <c r="KW14" i="6"/>
  <c r="KJ14" i="6"/>
  <c r="JV14" i="6"/>
  <c r="JI14" i="6"/>
  <c r="IV14" i="6"/>
  <c r="JW14" i="6" s="1"/>
  <c r="IH14" i="6"/>
  <c r="HU14" i="6"/>
  <c r="HH14" i="6"/>
  <c r="GT14" i="6"/>
  <c r="GG14" i="6"/>
  <c r="FT14" i="6"/>
  <c r="FF14" i="6"/>
  <c r="ES14" i="6"/>
  <c r="EF14" i="6"/>
  <c r="DR14" i="6"/>
  <c r="DE14" i="6"/>
  <c r="CR14" i="6"/>
  <c r="DS14" i="6" s="1"/>
  <c r="CD14" i="6"/>
  <c r="BQ14" i="6"/>
  <c r="BD14" i="6"/>
  <c r="AP14" i="6"/>
  <c r="AC14" i="6"/>
  <c r="P14" i="6"/>
  <c r="AQ14" i="6" s="1"/>
  <c r="OL13" i="6"/>
  <c r="NY13" i="6"/>
  <c r="NL13" i="6"/>
  <c r="MX13" i="6"/>
  <c r="MK13" i="6"/>
  <c r="LX13" i="6"/>
  <c r="LJ13" i="6"/>
  <c r="KW13" i="6"/>
  <c r="LK13" i="6" s="1"/>
  <c r="KJ13" i="6"/>
  <c r="JV13" i="6"/>
  <c r="JI13" i="6"/>
  <c r="IV13" i="6"/>
  <c r="IH13" i="6"/>
  <c r="HU13" i="6"/>
  <c r="HH13" i="6"/>
  <c r="GT13" i="6"/>
  <c r="GG13" i="6"/>
  <c r="FT13" i="6"/>
  <c r="FF13" i="6"/>
  <c r="ES13" i="6"/>
  <c r="EF13" i="6"/>
  <c r="DR13" i="6"/>
  <c r="DE13" i="6"/>
  <c r="CR13" i="6"/>
  <c r="CD13" i="6"/>
  <c r="BQ13" i="6"/>
  <c r="CE13" i="6" s="1"/>
  <c r="BD13" i="6"/>
  <c r="AP13" i="6"/>
  <c r="AC13" i="6"/>
  <c r="P13" i="6"/>
  <c r="OL12" i="6"/>
  <c r="NY12" i="6"/>
  <c r="NL12" i="6"/>
  <c r="MX12" i="6"/>
  <c r="MK12" i="6"/>
  <c r="LX12" i="6"/>
  <c r="LJ12" i="6"/>
  <c r="KW12" i="6"/>
  <c r="KJ12" i="6"/>
  <c r="JV12" i="6"/>
  <c r="JI12" i="6"/>
  <c r="IV12" i="6"/>
  <c r="JW12" i="6" s="1"/>
  <c r="IH12" i="6"/>
  <c r="HU12" i="6"/>
  <c r="HH12" i="6"/>
  <c r="GT12" i="6"/>
  <c r="GG12" i="6"/>
  <c r="FT12" i="6"/>
  <c r="FF12" i="6"/>
  <c r="ES12" i="6"/>
  <c r="EF12" i="6"/>
  <c r="DR12" i="6"/>
  <c r="DE12" i="6"/>
  <c r="CR12" i="6"/>
  <c r="DS12" i="6" s="1"/>
  <c r="CD12" i="6"/>
  <c r="BQ12" i="6"/>
  <c r="BD12" i="6"/>
  <c r="AP12" i="6"/>
  <c r="AC12" i="6"/>
  <c r="P12" i="6"/>
  <c r="AQ12" i="6" s="1"/>
  <c r="OL11" i="6"/>
  <c r="NY11" i="6"/>
  <c r="NL11" i="6"/>
  <c r="MX11" i="6"/>
  <c r="MK11" i="6"/>
  <c r="LX11" i="6"/>
  <c r="LJ11" i="6"/>
  <c r="KW11" i="6"/>
  <c r="KJ11" i="6"/>
  <c r="JV11" i="6"/>
  <c r="JI11" i="6"/>
  <c r="IV11" i="6"/>
  <c r="IH11" i="6"/>
  <c r="HU11" i="6"/>
  <c r="HH11" i="6"/>
  <c r="GT11" i="6"/>
  <c r="GG11" i="6"/>
  <c r="FT11" i="6"/>
  <c r="FF11" i="6"/>
  <c r="ES11" i="6"/>
  <c r="EF11" i="6"/>
  <c r="DR11" i="6"/>
  <c r="DE11" i="6"/>
  <c r="CR11" i="6"/>
  <c r="CD11" i="6"/>
  <c r="BQ11" i="6"/>
  <c r="CE11" i="6" s="1"/>
  <c r="BD11" i="6"/>
  <c r="AP11" i="6"/>
  <c r="AC11" i="6"/>
  <c r="P11" i="6"/>
  <c r="OL10" i="6"/>
  <c r="NY10" i="6"/>
  <c r="NL10" i="6"/>
  <c r="MX10" i="6"/>
  <c r="MK10" i="6"/>
  <c r="LX10" i="6"/>
  <c r="LJ10" i="6"/>
  <c r="KW10" i="6"/>
  <c r="KJ10" i="6"/>
  <c r="JV10" i="6"/>
  <c r="JI10" i="6"/>
  <c r="IV10" i="6"/>
  <c r="JW10" i="6" s="1"/>
  <c r="IH10" i="6"/>
  <c r="HU10" i="6"/>
  <c r="HH10" i="6"/>
  <c r="GT10" i="6"/>
  <c r="GG10" i="6"/>
  <c r="FT10" i="6"/>
  <c r="FF10" i="6"/>
  <c r="ES10" i="6"/>
  <c r="EF10" i="6"/>
  <c r="DR10" i="6"/>
  <c r="DE10" i="6"/>
  <c r="CR10" i="6"/>
  <c r="DS10" i="6" s="1"/>
  <c r="CD10" i="6"/>
  <c r="BQ10" i="6"/>
  <c r="BD10" i="6"/>
  <c r="AP10" i="6"/>
  <c r="AC10" i="6"/>
  <c r="P10" i="6"/>
  <c r="OL9" i="6"/>
  <c r="NY9" i="6"/>
  <c r="NL9" i="6"/>
  <c r="MX9" i="6"/>
  <c r="MK9" i="6"/>
  <c r="LX9" i="6"/>
  <c r="MY9" i="6" s="1"/>
  <c r="LJ9" i="6"/>
  <c r="KW9" i="6"/>
  <c r="KJ9" i="6"/>
  <c r="JV9" i="6"/>
  <c r="JI9" i="6"/>
  <c r="IV9" i="6"/>
  <c r="JW9" i="6" s="1"/>
  <c r="IH9" i="6"/>
  <c r="HU9" i="6"/>
  <c r="HH9" i="6"/>
  <c r="GT9" i="6"/>
  <c r="GG9" i="6"/>
  <c r="FT9" i="6"/>
  <c r="GU9" i="6" s="1"/>
  <c r="FF9" i="6"/>
  <c r="ES9" i="6"/>
  <c r="EF9" i="6"/>
  <c r="DR9" i="6"/>
  <c r="DE9" i="6"/>
  <c r="CR9" i="6"/>
  <c r="DS9" i="6" s="1"/>
  <c r="CD9" i="6"/>
  <c r="BQ9" i="6"/>
  <c r="BD9" i="6"/>
  <c r="AP9" i="6"/>
  <c r="AC9" i="6"/>
  <c r="P9" i="6"/>
  <c r="AQ9" i="6" s="1"/>
  <c r="OL8" i="6"/>
  <c r="NY8" i="6"/>
  <c r="NL8" i="6"/>
  <c r="MX8" i="6"/>
  <c r="MK8" i="6"/>
  <c r="LX8" i="6"/>
  <c r="LJ8" i="6"/>
  <c r="KW8" i="6"/>
  <c r="KJ8" i="6"/>
  <c r="JV8" i="6"/>
  <c r="JI8" i="6"/>
  <c r="IV8" i="6"/>
  <c r="IH8" i="6"/>
  <c r="HU8" i="6"/>
  <c r="HH8" i="6"/>
  <c r="GT8" i="6"/>
  <c r="GG8" i="6"/>
  <c r="FT8" i="6"/>
  <c r="FF8" i="6"/>
  <c r="ES8" i="6"/>
  <c r="EF8" i="6"/>
  <c r="DR8" i="6"/>
  <c r="DE8" i="6"/>
  <c r="CR8" i="6"/>
  <c r="CD8" i="6"/>
  <c r="BQ8" i="6"/>
  <c r="CE8" i="6" s="1"/>
  <c r="BD8" i="6"/>
  <c r="AP8" i="6"/>
  <c r="AC8" i="6"/>
  <c r="P8" i="6"/>
  <c r="OL7" i="6"/>
  <c r="NY7" i="6"/>
  <c r="NL7" i="6"/>
  <c r="MX7" i="6"/>
  <c r="MK7" i="6"/>
  <c r="LX7" i="6"/>
  <c r="LJ7" i="6"/>
  <c r="KW7" i="6"/>
  <c r="KJ7" i="6"/>
  <c r="JV7" i="6"/>
  <c r="JI7" i="6"/>
  <c r="IV7" i="6"/>
  <c r="JW7" i="6" s="1"/>
  <c r="IH7" i="6"/>
  <c r="HU7" i="6"/>
  <c r="HH7" i="6"/>
  <c r="GT7" i="6"/>
  <c r="GG7" i="6"/>
  <c r="FT7" i="6"/>
  <c r="FF7" i="6"/>
  <c r="ES7" i="6"/>
  <c r="EF7" i="6"/>
  <c r="DR7" i="6"/>
  <c r="DE7" i="6"/>
  <c r="CR7" i="6"/>
  <c r="DS7" i="6" s="1"/>
  <c r="CD7" i="6"/>
  <c r="BQ7" i="6"/>
  <c r="BD7" i="6"/>
  <c r="AP7" i="6"/>
  <c r="AC7" i="6"/>
  <c r="P7" i="6"/>
  <c r="AQ7" i="6" s="1"/>
  <c r="OL6" i="6"/>
  <c r="NY6" i="6"/>
  <c r="NL6" i="6"/>
  <c r="MX6" i="6"/>
  <c r="MK6" i="6"/>
  <c r="LX6" i="6"/>
  <c r="LJ6" i="6"/>
  <c r="KW6" i="6"/>
  <c r="KJ6" i="6"/>
  <c r="JV6" i="6"/>
  <c r="JI6" i="6"/>
  <c r="IV6" i="6"/>
  <c r="IH6" i="6"/>
  <c r="HU6" i="6"/>
  <c r="HH6" i="6"/>
  <c r="GT6" i="6"/>
  <c r="GG6" i="6"/>
  <c r="FF6" i="6"/>
  <c r="ES6" i="6"/>
  <c r="EF6" i="6"/>
  <c r="DR6" i="6"/>
  <c r="DE6" i="6"/>
  <c r="CR6" i="6"/>
  <c r="CD6" i="6"/>
  <c r="BQ6" i="6"/>
  <c r="BD6" i="6"/>
  <c r="AP6" i="6"/>
  <c r="AC6" i="6"/>
  <c r="P6" i="6"/>
  <c r="TA40" i="5"/>
  <c r="SZ40" i="5"/>
  <c r="SY40" i="5"/>
  <c r="SX40" i="5"/>
  <c r="SW40" i="5"/>
  <c r="SV40" i="5"/>
  <c r="SU40" i="5"/>
  <c r="ST40" i="5"/>
  <c r="SS40" i="5"/>
  <c r="SR40" i="5"/>
  <c r="SQ40" i="5"/>
  <c r="SP40" i="5"/>
  <c r="SN40" i="5"/>
  <c r="SM40" i="5"/>
  <c r="SL40" i="5"/>
  <c r="SK40" i="5"/>
  <c r="SJ40" i="5"/>
  <c r="SI40" i="5"/>
  <c r="SH40" i="5"/>
  <c r="SG40" i="5"/>
  <c r="SF40" i="5"/>
  <c r="SE40" i="5"/>
  <c r="SD40" i="5"/>
  <c r="SC40" i="5"/>
  <c r="SA40" i="5"/>
  <c r="RZ40" i="5"/>
  <c r="RY40" i="5"/>
  <c r="RX40" i="5"/>
  <c r="RW40" i="5"/>
  <c r="RV40" i="5"/>
  <c r="RU40" i="5"/>
  <c r="RT40" i="5"/>
  <c r="RS40" i="5"/>
  <c r="RR40" i="5"/>
  <c r="RQ40" i="5"/>
  <c r="RP40" i="5"/>
  <c r="TB39" i="5"/>
  <c r="SO39" i="5"/>
  <c r="SB39" i="5"/>
  <c r="TB38" i="5"/>
  <c r="SO38" i="5"/>
  <c r="SB38" i="5"/>
  <c r="TB37" i="5"/>
  <c r="SO37" i="5"/>
  <c r="SB37" i="5"/>
  <c r="TB36" i="5"/>
  <c r="SO36" i="5"/>
  <c r="SB36" i="5"/>
  <c r="TB35" i="5"/>
  <c r="SO35" i="5"/>
  <c r="SB35" i="5"/>
  <c r="TB34" i="5"/>
  <c r="SO34" i="5"/>
  <c r="SB34" i="5"/>
  <c r="TB33" i="5"/>
  <c r="SO33" i="5"/>
  <c r="SB33" i="5"/>
  <c r="TB32" i="5"/>
  <c r="SO32" i="5"/>
  <c r="SB32" i="5"/>
  <c r="TB31" i="5"/>
  <c r="SO31" i="5"/>
  <c r="SB31" i="5"/>
  <c r="TB30" i="5"/>
  <c r="SO30" i="5"/>
  <c r="SB30" i="5"/>
  <c r="TB29" i="5"/>
  <c r="SO29" i="5"/>
  <c r="SB29" i="5"/>
  <c r="TB28" i="5"/>
  <c r="SO28" i="5"/>
  <c r="SB28" i="5"/>
  <c r="TB27" i="5"/>
  <c r="SO27" i="5"/>
  <c r="SB27" i="5"/>
  <c r="TB26" i="5"/>
  <c r="SO26" i="5"/>
  <c r="SB26" i="5"/>
  <c r="TB25" i="5"/>
  <c r="SO25" i="5"/>
  <c r="SB25" i="5"/>
  <c r="TB24" i="5"/>
  <c r="SO24" i="5"/>
  <c r="SB24" i="5"/>
  <c r="TB23" i="5"/>
  <c r="SO23" i="5"/>
  <c r="SB23" i="5"/>
  <c r="TB22" i="5"/>
  <c r="SO22" i="5"/>
  <c r="SB22" i="5"/>
  <c r="TB21" i="5"/>
  <c r="SO21" i="5"/>
  <c r="SB21" i="5"/>
  <c r="TB20" i="5"/>
  <c r="SO20" i="5"/>
  <c r="SB20" i="5"/>
  <c r="TB19" i="5"/>
  <c r="SO19" i="5"/>
  <c r="SB19" i="5"/>
  <c r="TB18" i="5"/>
  <c r="SO18" i="5"/>
  <c r="SB18" i="5"/>
  <c r="TB17" i="5"/>
  <c r="SO17" i="5"/>
  <c r="SB17" i="5"/>
  <c r="TB16" i="5"/>
  <c r="SO16" i="5"/>
  <c r="SB16" i="5"/>
  <c r="TB15" i="5"/>
  <c r="SO15" i="5"/>
  <c r="SB15" i="5"/>
  <c r="TB14" i="5"/>
  <c r="SO14" i="5"/>
  <c r="SB14" i="5"/>
  <c r="TB13" i="5"/>
  <c r="SO13" i="5"/>
  <c r="SB13" i="5"/>
  <c r="TB12" i="5"/>
  <c r="SO12" i="5"/>
  <c r="SB12" i="5"/>
  <c r="TB11" i="5"/>
  <c r="SO11" i="5"/>
  <c r="SB11" i="5"/>
  <c r="TB10" i="5"/>
  <c r="SO10" i="5"/>
  <c r="SB10" i="5"/>
  <c r="TB9" i="5"/>
  <c r="SO9" i="5"/>
  <c r="SB9" i="5"/>
  <c r="TB8" i="5"/>
  <c r="SO8" i="5"/>
  <c r="SB8" i="5"/>
  <c r="TB7" i="5"/>
  <c r="SO7" i="5"/>
  <c r="SB7" i="5"/>
  <c r="TB6" i="5"/>
  <c r="SO6" i="5"/>
  <c r="SB6" i="5"/>
  <c r="RM40" i="5"/>
  <c r="RL40" i="5"/>
  <c r="RK40" i="5"/>
  <c r="RJ40" i="5"/>
  <c r="RI40" i="5"/>
  <c r="RH40" i="5"/>
  <c r="RG40" i="5"/>
  <c r="RF40" i="5"/>
  <c r="RE40" i="5"/>
  <c r="RD40" i="5"/>
  <c r="RC40" i="5"/>
  <c r="RB40" i="5"/>
  <c r="QZ40" i="5"/>
  <c r="QY40" i="5"/>
  <c r="QX40" i="5"/>
  <c r="QW40" i="5"/>
  <c r="QV40" i="5"/>
  <c r="QU40" i="5"/>
  <c r="QT40" i="5"/>
  <c r="QS40" i="5"/>
  <c r="QR40" i="5"/>
  <c r="QQ40" i="5"/>
  <c r="QP40" i="5"/>
  <c r="QO40" i="5"/>
  <c r="QM40" i="5"/>
  <c r="QL40" i="5"/>
  <c r="QK40" i="5"/>
  <c r="QJ40" i="5"/>
  <c r="QI40" i="5"/>
  <c r="QH40" i="5"/>
  <c r="QG40" i="5"/>
  <c r="QF40" i="5"/>
  <c r="QE40" i="5"/>
  <c r="QD40" i="5"/>
  <c r="QC40" i="5"/>
  <c r="QB40" i="5"/>
  <c r="RN39" i="5"/>
  <c r="RA39" i="5"/>
  <c r="QN39" i="5"/>
  <c r="RN38" i="5"/>
  <c r="RA38" i="5"/>
  <c r="QN38" i="5"/>
  <c r="RN37" i="5"/>
  <c r="RA37" i="5"/>
  <c r="QN37" i="5"/>
  <c r="RN36" i="5"/>
  <c r="RA36" i="5"/>
  <c r="QN36" i="5"/>
  <c r="RN35" i="5"/>
  <c r="RA35" i="5"/>
  <c r="QN35" i="5"/>
  <c r="RN34" i="5"/>
  <c r="RA34" i="5"/>
  <c r="QN34" i="5"/>
  <c r="RN33" i="5"/>
  <c r="RA33" i="5"/>
  <c r="QN33" i="5"/>
  <c r="RN32" i="5"/>
  <c r="RA32" i="5"/>
  <c r="QN32" i="5"/>
  <c r="RN31" i="5"/>
  <c r="RA31" i="5"/>
  <c r="QN31" i="5"/>
  <c r="RN30" i="5"/>
  <c r="RA30" i="5"/>
  <c r="QN30" i="5"/>
  <c r="RN29" i="5"/>
  <c r="RA29" i="5"/>
  <c r="QN29" i="5"/>
  <c r="RN28" i="5"/>
  <c r="RA28" i="5"/>
  <c r="QN28" i="5"/>
  <c r="RN27" i="5"/>
  <c r="RA27" i="5"/>
  <c r="QN27" i="5"/>
  <c r="RN26" i="5"/>
  <c r="RA26" i="5"/>
  <c r="QN26" i="5"/>
  <c r="RN25" i="5"/>
  <c r="RA25" i="5"/>
  <c r="QN25" i="5"/>
  <c r="RN24" i="5"/>
  <c r="RA24" i="5"/>
  <c r="QN24" i="5"/>
  <c r="RN23" i="5"/>
  <c r="RA23" i="5"/>
  <c r="QN23" i="5"/>
  <c r="RN22" i="5"/>
  <c r="RA22" i="5"/>
  <c r="QN22" i="5"/>
  <c r="RN21" i="5"/>
  <c r="RA21" i="5"/>
  <c r="QN21" i="5"/>
  <c r="RN20" i="5"/>
  <c r="RA20" i="5"/>
  <c r="QN20" i="5"/>
  <c r="RN19" i="5"/>
  <c r="RA19" i="5"/>
  <c r="QN19" i="5"/>
  <c r="RN18" i="5"/>
  <c r="RA18" i="5"/>
  <c r="QN18" i="5"/>
  <c r="RN17" i="5"/>
  <c r="RA17" i="5"/>
  <c r="QN17" i="5"/>
  <c r="RN16" i="5"/>
  <c r="RA16" i="5"/>
  <c r="QN16" i="5"/>
  <c r="RN15" i="5"/>
  <c r="RA15" i="5"/>
  <c r="QN15" i="5"/>
  <c r="RN14" i="5"/>
  <c r="RA14" i="5"/>
  <c r="QN14" i="5"/>
  <c r="RN13" i="5"/>
  <c r="RA13" i="5"/>
  <c r="QN13" i="5"/>
  <c r="RN12" i="5"/>
  <c r="RA12" i="5"/>
  <c r="QN12" i="5"/>
  <c r="RN11" i="5"/>
  <c r="RA11" i="5"/>
  <c r="QN11" i="5"/>
  <c r="RN10" i="5"/>
  <c r="RA10" i="5"/>
  <c r="QN10" i="5"/>
  <c r="RN9" i="5"/>
  <c r="RA9" i="5"/>
  <c r="QN9" i="5"/>
  <c r="RN8" i="5"/>
  <c r="RA8" i="5"/>
  <c r="QN8" i="5"/>
  <c r="RN7" i="5"/>
  <c r="RA7" i="5"/>
  <c r="QN7" i="5"/>
  <c r="RN6" i="5"/>
  <c r="RA6" i="5"/>
  <c r="QN6" i="5"/>
  <c r="PY40" i="5"/>
  <c r="PX40" i="5"/>
  <c r="PW40" i="5"/>
  <c r="PV40" i="5"/>
  <c r="PU40" i="5"/>
  <c r="PT40" i="5"/>
  <c r="PS40" i="5"/>
  <c r="PR40" i="5"/>
  <c r="PQ40" i="5"/>
  <c r="PP40" i="5"/>
  <c r="PO40" i="5"/>
  <c r="PN40" i="5"/>
  <c r="PL40" i="5"/>
  <c r="PK40" i="5"/>
  <c r="PJ40" i="5"/>
  <c r="PI40" i="5"/>
  <c r="PH40" i="5"/>
  <c r="PG40" i="5"/>
  <c r="PF40" i="5"/>
  <c r="PE40" i="5"/>
  <c r="PD40" i="5"/>
  <c r="PC40" i="5"/>
  <c r="PB40" i="5"/>
  <c r="PA40" i="5"/>
  <c r="OY40" i="5"/>
  <c r="OX40" i="5"/>
  <c r="OW40" i="5"/>
  <c r="OV40" i="5"/>
  <c r="OU40" i="5"/>
  <c r="OT40" i="5"/>
  <c r="OS40" i="5"/>
  <c r="OR40" i="5"/>
  <c r="OQ40" i="5"/>
  <c r="OP40" i="5"/>
  <c r="OO40" i="5"/>
  <c r="ON40" i="5"/>
  <c r="PZ39" i="5"/>
  <c r="PM39" i="5"/>
  <c r="OZ39" i="5"/>
  <c r="PZ38" i="5"/>
  <c r="PM38" i="5"/>
  <c r="OZ38" i="5"/>
  <c r="PZ37" i="5"/>
  <c r="PM37" i="5"/>
  <c r="OZ37" i="5"/>
  <c r="PZ36" i="5"/>
  <c r="PM36" i="5"/>
  <c r="OZ36" i="5"/>
  <c r="PZ35" i="5"/>
  <c r="PM35" i="5"/>
  <c r="OZ35" i="5"/>
  <c r="PZ34" i="5"/>
  <c r="PM34" i="5"/>
  <c r="OZ34" i="5"/>
  <c r="PZ33" i="5"/>
  <c r="PM33" i="5"/>
  <c r="OZ33" i="5"/>
  <c r="PZ32" i="5"/>
  <c r="PM32" i="5"/>
  <c r="OZ32" i="5"/>
  <c r="PZ31" i="5"/>
  <c r="PM31" i="5"/>
  <c r="OZ31" i="5"/>
  <c r="PZ30" i="5"/>
  <c r="PM30" i="5"/>
  <c r="OZ30" i="5"/>
  <c r="PZ29" i="5"/>
  <c r="PM29" i="5"/>
  <c r="OZ29" i="5"/>
  <c r="PZ28" i="5"/>
  <c r="PM28" i="5"/>
  <c r="OZ28" i="5"/>
  <c r="PZ27" i="5"/>
  <c r="PM27" i="5"/>
  <c r="OZ27" i="5"/>
  <c r="PZ26" i="5"/>
  <c r="PM26" i="5"/>
  <c r="OZ26" i="5"/>
  <c r="PZ25" i="5"/>
  <c r="PM25" i="5"/>
  <c r="OZ25" i="5"/>
  <c r="PZ24" i="5"/>
  <c r="PM24" i="5"/>
  <c r="OZ24" i="5"/>
  <c r="PZ23" i="5"/>
  <c r="PM23" i="5"/>
  <c r="OZ23" i="5"/>
  <c r="PZ22" i="5"/>
  <c r="PM22" i="5"/>
  <c r="OZ22" i="5"/>
  <c r="PZ21" i="5"/>
  <c r="PM21" i="5"/>
  <c r="OZ21" i="5"/>
  <c r="PZ20" i="5"/>
  <c r="PM20" i="5"/>
  <c r="OZ20" i="5"/>
  <c r="PZ19" i="5"/>
  <c r="PM19" i="5"/>
  <c r="OZ19" i="5"/>
  <c r="PZ18" i="5"/>
  <c r="PM18" i="5"/>
  <c r="OZ18" i="5"/>
  <c r="PZ17" i="5"/>
  <c r="PM17" i="5"/>
  <c r="OZ17" i="5"/>
  <c r="PZ16" i="5"/>
  <c r="PM16" i="5"/>
  <c r="OZ16" i="5"/>
  <c r="PZ15" i="5"/>
  <c r="PM15" i="5"/>
  <c r="OZ15" i="5"/>
  <c r="PZ14" i="5"/>
  <c r="PM14" i="5"/>
  <c r="OZ14" i="5"/>
  <c r="PZ13" i="5"/>
  <c r="PM13" i="5"/>
  <c r="OZ13" i="5"/>
  <c r="PZ12" i="5"/>
  <c r="PM12" i="5"/>
  <c r="OZ12" i="5"/>
  <c r="PZ11" i="5"/>
  <c r="PM11" i="5"/>
  <c r="OZ11" i="5"/>
  <c r="PZ10" i="5"/>
  <c r="PM10" i="5"/>
  <c r="OZ10" i="5"/>
  <c r="PZ9" i="5"/>
  <c r="PM9" i="5"/>
  <c r="OZ9" i="5"/>
  <c r="PZ8" i="5"/>
  <c r="PM8" i="5"/>
  <c r="OZ8" i="5"/>
  <c r="PZ7" i="5"/>
  <c r="PM7" i="5"/>
  <c r="OZ7" i="5"/>
  <c r="PZ6" i="5"/>
  <c r="PM6" i="5"/>
  <c r="OZ6" i="5"/>
  <c r="OK40" i="5"/>
  <c r="OJ40" i="5"/>
  <c r="OI40" i="5"/>
  <c r="OH40" i="5"/>
  <c r="OG40" i="5"/>
  <c r="OF40" i="5"/>
  <c r="OE40" i="5"/>
  <c r="OD40" i="5"/>
  <c r="OC40" i="5"/>
  <c r="OB40" i="5"/>
  <c r="OA40" i="5"/>
  <c r="NZ40" i="5"/>
  <c r="NX40" i="5"/>
  <c r="NW40" i="5"/>
  <c r="NV40" i="5"/>
  <c r="NU40" i="5"/>
  <c r="NT40" i="5"/>
  <c r="NS40" i="5"/>
  <c r="NR40" i="5"/>
  <c r="NQ40" i="5"/>
  <c r="NP40" i="5"/>
  <c r="NO40" i="5"/>
  <c r="NN40" i="5"/>
  <c r="NM40" i="5"/>
  <c r="NK40" i="5"/>
  <c r="NJ40" i="5"/>
  <c r="NI40" i="5"/>
  <c r="NH40" i="5"/>
  <c r="NG40" i="5"/>
  <c r="NF40" i="5"/>
  <c r="NE40" i="5"/>
  <c r="ND40" i="5"/>
  <c r="NC40" i="5"/>
  <c r="NB40" i="5"/>
  <c r="NA40" i="5"/>
  <c r="MZ40" i="5"/>
  <c r="OL39" i="5"/>
  <c r="NY39" i="5"/>
  <c r="NL39" i="5"/>
  <c r="OL38" i="5"/>
  <c r="NY38" i="5"/>
  <c r="NL38" i="5"/>
  <c r="OL37" i="5"/>
  <c r="NY37" i="5"/>
  <c r="NL37" i="5"/>
  <c r="OL36" i="5"/>
  <c r="NY36" i="5"/>
  <c r="NL36" i="5"/>
  <c r="OL35" i="5"/>
  <c r="NY35" i="5"/>
  <c r="NL35" i="5"/>
  <c r="OL34" i="5"/>
  <c r="NY34" i="5"/>
  <c r="NL34" i="5"/>
  <c r="OL33" i="5"/>
  <c r="NY33" i="5"/>
  <c r="NL33" i="5"/>
  <c r="OL32" i="5"/>
  <c r="NY32" i="5"/>
  <c r="NL32" i="5"/>
  <c r="OL31" i="5"/>
  <c r="NY31" i="5"/>
  <c r="NL31" i="5"/>
  <c r="OL30" i="5"/>
  <c r="NY30" i="5"/>
  <c r="NL30" i="5"/>
  <c r="OL29" i="5"/>
  <c r="NY29" i="5"/>
  <c r="NL29" i="5"/>
  <c r="OL28" i="5"/>
  <c r="NY28" i="5"/>
  <c r="NL28" i="5"/>
  <c r="OL27" i="5"/>
  <c r="NY27" i="5"/>
  <c r="NL27" i="5"/>
  <c r="OL26" i="5"/>
  <c r="NY26" i="5"/>
  <c r="NL26" i="5"/>
  <c r="OL25" i="5"/>
  <c r="NY25" i="5"/>
  <c r="NL25" i="5"/>
  <c r="OL24" i="5"/>
  <c r="NY24" i="5"/>
  <c r="NL24" i="5"/>
  <c r="OL23" i="5"/>
  <c r="NY23" i="5"/>
  <c r="NL23" i="5"/>
  <c r="OL22" i="5"/>
  <c r="NY22" i="5"/>
  <c r="NL22" i="5"/>
  <c r="OL21" i="5"/>
  <c r="NY21" i="5"/>
  <c r="NL21" i="5"/>
  <c r="OL20" i="5"/>
  <c r="NY20" i="5"/>
  <c r="NL20" i="5"/>
  <c r="OL19" i="5"/>
  <c r="NY19" i="5"/>
  <c r="NL19" i="5"/>
  <c r="OL18" i="5"/>
  <c r="NY18" i="5"/>
  <c r="NL18" i="5"/>
  <c r="OL17" i="5"/>
  <c r="NY17" i="5"/>
  <c r="NL17" i="5"/>
  <c r="OL16" i="5"/>
  <c r="NY16" i="5"/>
  <c r="NL16" i="5"/>
  <c r="OL15" i="5"/>
  <c r="NY15" i="5"/>
  <c r="NL15" i="5"/>
  <c r="OL14" i="5"/>
  <c r="NY14" i="5"/>
  <c r="NL14" i="5"/>
  <c r="OL13" i="5"/>
  <c r="NY13" i="5"/>
  <c r="NL13" i="5"/>
  <c r="OL12" i="5"/>
  <c r="NY12" i="5"/>
  <c r="NL12" i="5"/>
  <c r="OL11" i="5"/>
  <c r="NY11" i="5"/>
  <c r="NL11" i="5"/>
  <c r="OL10" i="5"/>
  <c r="NY10" i="5"/>
  <c r="NL10" i="5"/>
  <c r="OL9" i="5"/>
  <c r="NY9" i="5"/>
  <c r="NL9" i="5"/>
  <c r="OL8" i="5"/>
  <c r="NY8" i="5"/>
  <c r="NL8" i="5"/>
  <c r="OL7" i="5"/>
  <c r="NY7" i="5"/>
  <c r="NL7" i="5"/>
  <c r="OL6" i="5"/>
  <c r="NY6" i="5"/>
  <c r="NL6" i="5"/>
  <c r="UO40" i="5"/>
  <c r="UN40" i="5"/>
  <c r="UM40" i="5"/>
  <c r="UL40" i="5"/>
  <c r="UK40" i="5"/>
  <c r="UJ40" i="5"/>
  <c r="UI40" i="5"/>
  <c r="UH40" i="5"/>
  <c r="UG40" i="5"/>
  <c r="UF40" i="5"/>
  <c r="UE40" i="5"/>
  <c r="UD40" i="5"/>
  <c r="UB40" i="5"/>
  <c r="UA40" i="5"/>
  <c r="TZ40" i="5"/>
  <c r="TY40" i="5"/>
  <c r="TX40" i="5"/>
  <c r="TW40" i="5"/>
  <c r="TV40" i="5"/>
  <c r="TU40" i="5"/>
  <c r="TT40" i="5"/>
  <c r="TS40" i="5"/>
  <c r="TR40" i="5"/>
  <c r="TQ40" i="5"/>
  <c r="TO40" i="5"/>
  <c r="TN40" i="5"/>
  <c r="TM40" i="5"/>
  <c r="TL40" i="5"/>
  <c r="TK40" i="5"/>
  <c r="TJ40" i="5"/>
  <c r="TI40" i="5"/>
  <c r="TH40" i="5"/>
  <c r="TG40" i="5"/>
  <c r="TF40" i="5"/>
  <c r="TE40" i="5"/>
  <c r="TD40" i="5"/>
  <c r="MW40" i="5"/>
  <c r="MV40" i="5"/>
  <c r="MU40" i="5"/>
  <c r="MT40" i="5"/>
  <c r="MS40" i="5"/>
  <c r="MR40" i="5"/>
  <c r="MQ40" i="5"/>
  <c r="MP40" i="5"/>
  <c r="MO40" i="5"/>
  <c r="MN40" i="5"/>
  <c r="MM40" i="5"/>
  <c r="ML40" i="5"/>
  <c r="MJ40" i="5"/>
  <c r="MI40" i="5"/>
  <c r="MH40" i="5"/>
  <c r="MG40" i="5"/>
  <c r="MF40" i="5"/>
  <c r="ME40" i="5"/>
  <c r="MD40" i="5"/>
  <c r="MC40" i="5"/>
  <c r="MB40" i="5"/>
  <c r="MA40" i="5"/>
  <c r="LZ40" i="5"/>
  <c r="LY40" i="5"/>
  <c r="LW40" i="5"/>
  <c r="LV40" i="5"/>
  <c r="LU40" i="5"/>
  <c r="LT40" i="5"/>
  <c r="LS40" i="5"/>
  <c r="LR40" i="5"/>
  <c r="LQ40" i="5"/>
  <c r="LP40" i="5"/>
  <c r="LO40" i="5"/>
  <c r="LN40" i="5"/>
  <c r="LM40" i="5"/>
  <c r="LL40" i="5"/>
  <c r="LI40" i="5"/>
  <c r="LH40" i="5"/>
  <c r="LG40" i="5"/>
  <c r="LF40" i="5"/>
  <c r="LE40" i="5"/>
  <c r="LD40" i="5"/>
  <c r="LC40" i="5"/>
  <c r="LB40" i="5"/>
  <c r="LA40" i="5"/>
  <c r="KZ40" i="5"/>
  <c r="KY40" i="5"/>
  <c r="KX40" i="5"/>
  <c r="KV40" i="5"/>
  <c r="KU40" i="5"/>
  <c r="KT40" i="5"/>
  <c r="KS40" i="5"/>
  <c r="KR40" i="5"/>
  <c r="KQ40" i="5"/>
  <c r="KP40" i="5"/>
  <c r="KO40" i="5"/>
  <c r="KN40" i="5"/>
  <c r="KM40" i="5"/>
  <c r="KL40" i="5"/>
  <c r="KK40" i="5"/>
  <c r="KI40" i="5"/>
  <c r="KH40" i="5"/>
  <c r="KG40" i="5"/>
  <c r="KF40" i="5"/>
  <c r="KE40" i="5"/>
  <c r="KD40" i="5"/>
  <c r="KC40" i="5"/>
  <c r="KB40" i="5"/>
  <c r="KA40" i="5"/>
  <c r="JZ40" i="5"/>
  <c r="JY40" i="5"/>
  <c r="JX40" i="5"/>
  <c r="JU40" i="5"/>
  <c r="JT40" i="5"/>
  <c r="JS40" i="5"/>
  <c r="JR40" i="5"/>
  <c r="JQ40" i="5"/>
  <c r="JP40" i="5"/>
  <c r="JO40" i="5"/>
  <c r="JN40" i="5"/>
  <c r="JM40" i="5"/>
  <c r="JL40" i="5"/>
  <c r="JK40" i="5"/>
  <c r="JJ40" i="5"/>
  <c r="JH40" i="5"/>
  <c r="JG40" i="5"/>
  <c r="JF40" i="5"/>
  <c r="JE40" i="5"/>
  <c r="JD40" i="5"/>
  <c r="JC40" i="5"/>
  <c r="JB40" i="5"/>
  <c r="JA40" i="5"/>
  <c r="IZ40" i="5"/>
  <c r="IY40" i="5"/>
  <c r="IX40" i="5"/>
  <c r="IW40" i="5"/>
  <c r="IU40" i="5"/>
  <c r="IT40" i="5"/>
  <c r="IS40" i="5"/>
  <c r="IR40" i="5"/>
  <c r="IQ40" i="5"/>
  <c r="IP40" i="5"/>
  <c r="IO40" i="5"/>
  <c r="IN40" i="5"/>
  <c r="IM40" i="5"/>
  <c r="IL40" i="5"/>
  <c r="IK40" i="5"/>
  <c r="IJ40" i="5"/>
  <c r="IG40" i="5"/>
  <c r="IF40" i="5"/>
  <c r="IE40" i="5"/>
  <c r="ID40" i="5"/>
  <c r="IC40" i="5"/>
  <c r="IB40" i="5"/>
  <c r="IA40" i="5"/>
  <c r="HZ40" i="5"/>
  <c r="HY40" i="5"/>
  <c r="HX40" i="5"/>
  <c r="HW40" i="5"/>
  <c r="HV40" i="5"/>
  <c r="HT40" i="5"/>
  <c r="HS40" i="5"/>
  <c r="HR40" i="5"/>
  <c r="HQ40" i="5"/>
  <c r="HP40" i="5"/>
  <c r="HO40" i="5"/>
  <c r="HN40" i="5"/>
  <c r="HM40" i="5"/>
  <c r="HL40" i="5"/>
  <c r="HK40" i="5"/>
  <c r="HJ40" i="5"/>
  <c r="HI40" i="5"/>
  <c r="HG40" i="5"/>
  <c r="HF40" i="5"/>
  <c r="HE40" i="5"/>
  <c r="HD40" i="5"/>
  <c r="HC40" i="5"/>
  <c r="HB40" i="5"/>
  <c r="HA40" i="5"/>
  <c r="GZ40" i="5"/>
  <c r="GY40" i="5"/>
  <c r="GX40" i="5"/>
  <c r="GW40" i="5"/>
  <c r="GV40" i="5"/>
  <c r="GS40" i="5"/>
  <c r="GR40" i="5"/>
  <c r="GQ40" i="5"/>
  <c r="GP40" i="5"/>
  <c r="GO40" i="5"/>
  <c r="GN40" i="5"/>
  <c r="GM40" i="5"/>
  <c r="GL40" i="5"/>
  <c r="GK40" i="5"/>
  <c r="GJ40" i="5"/>
  <c r="GI40" i="5"/>
  <c r="GH40" i="5"/>
  <c r="GF40" i="5"/>
  <c r="GE40" i="5"/>
  <c r="GD40" i="5"/>
  <c r="GC40" i="5"/>
  <c r="GB40" i="5"/>
  <c r="GA40" i="5"/>
  <c r="FZ40" i="5"/>
  <c r="FY40" i="5"/>
  <c r="FX40" i="5"/>
  <c r="FW40" i="5"/>
  <c r="FV40" i="5"/>
  <c r="FU40" i="5"/>
  <c r="FS40" i="5"/>
  <c r="FR40" i="5"/>
  <c r="FQ40" i="5"/>
  <c r="FP40" i="5"/>
  <c r="FO40" i="5"/>
  <c r="FN40" i="5"/>
  <c r="FM40" i="5"/>
  <c r="FL40" i="5"/>
  <c r="FK40" i="5"/>
  <c r="FJ40" i="5"/>
  <c r="FI40" i="5"/>
  <c r="FH40" i="5"/>
  <c r="FE40" i="5"/>
  <c r="FD40" i="5"/>
  <c r="FC40" i="5"/>
  <c r="FB40" i="5"/>
  <c r="FA40" i="5"/>
  <c r="EZ40" i="5"/>
  <c r="EY40" i="5"/>
  <c r="EX40" i="5"/>
  <c r="EW40" i="5"/>
  <c r="EV40" i="5"/>
  <c r="EU40" i="5"/>
  <c r="ET40" i="5"/>
  <c r="ER40" i="5"/>
  <c r="EQ40" i="5"/>
  <c r="EP40" i="5"/>
  <c r="EO40" i="5"/>
  <c r="EN40" i="5"/>
  <c r="EM40" i="5"/>
  <c r="EL40" i="5"/>
  <c r="EK40" i="5"/>
  <c r="EJ40" i="5"/>
  <c r="EI40" i="5"/>
  <c r="EH40" i="5"/>
  <c r="EG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B40" i="5"/>
  <c r="AA40" i="5"/>
  <c r="Z40" i="5"/>
  <c r="Y40" i="5"/>
  <c r="X40" i="5"/>
  <c r="W40" i="5"/>
  <c r="V40" i="5"/>
  <c r="U40" i="5"/>
  <c r="T40" i="5"/>
  <c r="S40" i="5"/>
  <c r="R40" i="5"/>
  <c r="Q40" i="5"/>
  <c r="O40" i="5"/>
  <c r="N40" i="5"/>
  <c r="M40" i="5"/>
  <c r="L40" i="5"/>
  <c r="K40" i="5"/>
  <c r="J40" i="5"/>
  <c r="I40" i="5"/>
  <c r="H40" i="5"/>
  <c r="G40" i="5"/>
  <c r="F40" i="5"/>
  <c r="E40" i="5"/>
  <c r="D40" i="5"/>
  <c r="UP39" i="5"/>
  <c r="UC39" i="5"/>
  <c r="TP39" i="5"/>
  <c r="MX39" i="5"/>
  <c r="MK39" i="5"/>
  <c r="LX39" i="5"/>
  <c r="LJ39" i="5"/>
  <c r="KW39" i="5"/>
  <c r="KJ39" i="5"/>
  <c r="JV39" i="5"/>
  <c r="JI39" i="5"/>
  <c r="IV39" i="5"/>
  <c r="IH39" i="5"/>
  <c r="HU39" i="5"/>
  <c r="HH39" i="5"/>
  <c r="GT39" i="5"/>
  <c r="GG39" i="5"/>
  <c r="FT39" i="5"/>
  <c r="FF39" i="5"/>
  <c r="ES39" i="5"/>
  <c r="EF39" i="5"/>
  <c r="DR39" i="5"/>
  <c r="DE39" i="5"/>
  <c r="CR39" i="5"/>
  <c r="CD39" i="5"/>
  <c r="BQ39" i="5"/>
  <c r="BD39" i="5"/>
  <c r="AP39" i="5"/>
  <c r="AC39" i="5"/>
  <c r="P39" i="5"/>
  <c r="UP38" i="5"/>
  <c r="UC38" i="5"/>
  <c r="TP38" i="5"/>
  <c r="MX38" i="5"/>
  <c r="MK38" i="5"/>
  <c r="LX38" i="5"/>
  <c r="LJ38" i="5"/>
  <c r="KW38" i="5"/>
  <c r="KJ38" i="5"/>
  <c r="JV38" i="5"/>
  <c r="JI38" i="5"/>
  <c r="IV38" i="5"/>
  <c r="IH38" i="5"/>
  <c r="HU38" i="5"/>
  <c r="HH38" i="5"/>
  <c r="GT38" i="5"/>
  <c r="GG38" i="5"/>
  <c r="FT38" i="5"/>
  <c r="FF38" i="5"/>
  <c r="ES38" i="5"/>
  <c r="EF38" i="5"/>
  <c r="DR38" i="5"/>
  <c r="DE38" i="5"/>
  <c r="CR38" i="5"/>
  <c r="CD38" i="5"/>
  <c r="BQ38" i="5"/>
  <c r="BD38" i="5"/>
  <c r="AP38" i="5"/>
  <c r="AC38" i="5"/>
  <c r="P38" i="5"/>
  <c r="UP37" i="5"/>
  <c r="UC37" i="5"/>
  <c r="TP37" i="5"/>
  <c r="MX37" i="5"/>
  <c r="MK37" i="5"/>
  <c r="LX37" i="5"/>
  <c r="LJ37" i="5"/>
  <c r="KW37" i="5"/>
  <c r="KJ37" i="5"/>
  <c r="JV37" i="5"/>
  <c r="JI37" i="5"/>
  <c r="IV37" i="5"/>
  <c r="IH37" i="5"/>
  <c r="HU37" i="5"/>
  <c r="HH37" i="5"/>
  <c r="GT37" i="5"/>
  <c r="GG37" i="5"/>
  <c r="FT37" i="5"/>
  <c r="FF37" i="5"/>
  <c r="ES37" i="5"/>
  <c r="EF37" i="5"/>
  <c r="DR37" i="5"/>
  <c r="DE37" i="5"/>
  <c r="CR37" i="5"/>
  <c r="CD37" i="5"/>
  <c r="BQ37" i="5"/>
  <c r="BD37" i="5"/>
  <c r="AP37" i="5"/>
  <c r="AC37" i="5"/>
  <c r="P37" i="5"/>
  <c r="UP36" i="5"/>
  <c r="UC36" i="5"/>
  <c r="TP36" i="5"/>
  <c r="MX36" i="5"/>
  <c r="MK36" i="5"/>
  <c r="LX36" i="5"/>
  <c r="LJ36" i="5"/>
  <c r="KW36" i="5"/>
  <c r="KJ36" i="5"/>
  <c r="JV36" i="5"/>
  <c r="JI36" i="5"/>
  <c r="IV36" i="5"/>
  <c r="IH36" i="5"/>
  <c r="HU36" i="5"/>
  <c r="HH36" i="5"/>
  <c r="GT36" i="5"/>
  <c r="GG36" i="5"/>
  <c r="FT36" i="5"/>
  <c r="FF36" i="5"/>
  <c r="ES36" i="5"/>
  <c r="EF36" i="5"/>
  <c r="DR36" i="5"/>
  <c r="DE36" i="5"/>
  <c r="CR36" i="5"/>
  <c r="CD36" i="5"/>
  <c r="BQ36" i="5"/>
  <c r="BD36" i="5"/>
  <c r="AP36" i="5"/>
  <c r="AC36" i="5"/>
  <c r="P36" i="5"/>
  <c r="UP35" i="5"/>
  <c r="UC35" i="5"/>
  <c r="TP35" i="5"/>
  <c r="MX35" i="5"/>
  <c r="MK35" i="5"/>
  <c r="LX35" i="5"/>
  <c r="LJ35" i="5"/>
  <c r="KW35" i="5"/>
  <c r="KJ35" i="5"/>
  <c r="JV35" i="5"/>
  <c r="JI35" i="5"/>
  <c r="IV35" i="5"/>
  <c r="IH35" i="5"/>
  <c r="HU35" i="5"/>
  <c r="HH35" i="5"/>
  <c r="GT35" i="5"/>
  <c r="GG35" i="5"/>
  <c r="FT35" i="5"/>
  <c r="FF35" i="5"/>
  <c r="ES35" i="5"/>
  <c r="EF35" i="5"/>
  <c r="DR35" i="5"/>
  <c r="DE35" i="5"/>
  <c r="CR35" i="5"/>
  <c r="CD35" i="5"/>
  <c r="BQ35" i="5"/>
  <c r="BD35" i="5"/>
  <c r="AP35" i="5"/>
  <c r="AC35" i="5"/>
  <c r="P35" i="5"/>
  <c r="UP34" i="5"/>
  <c r="UC34" i="5"/>
  <c r="TP34" i="5"/>
  <c r="MX34" i="5"/>
  <c r="MK34" i="5"/>
  <c r="LX34" i="5"/>
  <c r="LJ34" i="5"/>
  <c r="KW34" i="5"/>
  <c r="KJ34" i="5"/>
  <c r="JV34" i="5"/>
  <c r="JI34" i="5"/>
  <c r="IV34" i="5"/>
  <c r="IH34" i="5"/>
  <c r="HU34" i="5"/>
  <c r="HH34" i="5"/>
  <c r="GT34" i="5"/>
  <c r="GG34" i="5"/>
  <c r="FT34" i="5"/>
  <c r="FF34" i="5"/>
  <c r="ES34" i="5"/>
  <c r="EF34" i="5"/>
  <c r="DR34" i="5"/>
  <c r="DE34" i="5"/>
  <c r="CR34" i="5"/>
  <c r="CD34" i="5"/>
  <c r="BQ34" i="5"/>
  <c r="BD34" i="5"/>
  <c r="AP34" i="5"/>
  <c r="AC34" i="5"/>
  <c r="P34" i="5"/>
  <c r="UP33" i="5"/>
  <c r="UC33" i="5"/>
  <c r="TP33" i="5"/>
  <c r="MX33" i="5"/>
  <c r="MK33" i="5"/>
  <c r="LX33" i="5"/>
  <c r="LJ33" i="5"/>
  <c r="KW33" i="5"/>
  <c r="KJ33" i="5"/>
  <c r="JV33" i="5"/>
  <c r="JI33" i="5"/>
  <c r="IV33" i="5"/>
  <c r="IH33" i="5"/>
  <c r="HU33" i="5"/>
  <c r="HH33" i="5"/>
  <c r="GT33" i="5"/>
  <c r="GG33" i="5"/>
  <c r="FT33" i="5"/>
  <c r="FF33" i="5"/>
  <c r="ES33" i="5"/>
  <c r="EF33" i="5"/>
  <c r="DR33" i="5"/>
  <c r="DE33" i="5"/>
  <c r="CR33" i="5"/>
  <c r="CD33" i="5"/>
  <c r="BQ33" i="5"/>
  <c r="BD33" i="5"/>
  <c r="AP33" i="5"/>
  <c r="AC33" i="5"/>
  <c r="P33" i="5"/>
  <c r="UP32" i="5"/>
  <c r="UC32" i="5"/>
  <c r="TP32" i="5"/>
  <c r="MX32" i="5"/>
  <c r="MK32" i="5"/>
  <c r="LX32" i="5"/>
  <c r="LJ32" i="5"/>
  <c r="KW32" i="5"/>
  <c r="KJ32" i="5"/>
  <c r="JV32" i="5"/>
  <c r="JI32" i="5"/>
  <c r="IV32" i="5"/>
  <c r="IH32" i="5"/>
  <c r="HU32" i="5"/>
  <c r="HH32" i="5"/>
  <c r="GT32" i="5"/>
  <c r="GG32" i="5"/>
  <c r="FT32" i="5"/>
  <c r="FF32" i="5"/>
  <c r="ES32" i="5"/>
  <c r="EF32" i="5"/>
  <c r="DR32" i="5"/>
  <c r="DE32" i="5"/>
  <c r="CR32" i="5"/>
  <c r="CD32" i="5"/>
  <c r="BQ32" i="5"/>
  <c r="BD32" i="5"/>
  <c r="AP32" i="5"/>
  <c r="AC32" i="5"/>
  <c r="P32" i="5"/>
  <c r="UP31" i="5"/>
  <c r="UC31" i="5"/>
  <c r="TP31" i="5"/>
  <c r="MX31" i="5"/>
  <c r="MK31" i="5"/>
  <c r="LX31" i="5"/>
  <c r="LJ31" i="5"/>
  <c r="KW31" i="5"/>
  <c r="KJ31" i="5"/>
  <c r="JV31" i="5"/>
  <c r="JI31" i="5"/>
  <c r="IV31" i="5"/>
  <c r="IH31" i="5"/>
  <c r="HU31" i="5"/>
  <c r="HH31" i="5"/>
  <c r="GT31" i="5"/>
  <c r="GG31" i="5"/>
  <c r="FT31" i="5"/>
  <c r="FF31" i="5"/>
  <c r="ES31" i="5"/>
  <c r="EF31" i="5"/>
  <c r="DR31" i="5"/>
  <c r="DE31" i="5"/>
  <c r="CR31" i="5"/>
  <c r="CD31" i="5"/>
  <c r="BQ31" i="5"/>
  <c r="BD31" i="5"/>
  <c r="AP31" i="5"/>
  <c r="AC31" i="5"/>
  <c r="P31" i="5"/>
  <c r="UP30" i="5"/>
  <c r="UC30" i="5"/>
  <c r="TP30" i="5"/>
  <c r="MX30" i="5"/>
  <c r="MK30" i="5"/>
  <c r="LX30" i="5"/>
  <c r="LJ30" i="5"/>
  <c r="KW30" i="5"/>
  <c r="KJ30" i="5"/>
  <c r="JV30" i="5"/>
  <c r="JI30" i="5"/>
  <c r="IV30" i="5"/>
  <c r="IH30" i="5"/>
  <c r="HU30" i="5"/>
  <c r="HH30" i="5"/>
  <c r="GT30" i="5"/>
  <c r="GG30" i="5"/>
  <c r="FT30" i="5"/>
  <c r="FF30" i="5"/>
  <c r="ES30" i="5"/>
  <c r="EF30" i="5"/>
  <c r="DR30" i="5"/>
  <c r="DE30" i="5"/>
  <c r="CR30" i="5"/>
  <c r="CD30" i="5"/>
  <c r="BQ30" i="5"/>
  <c r="BD30" i="5"/>
  <c r="AP30" i="5"/>
  <c r="AC30" i="5"/>
  <c r="P30" i="5"/>
  <c r="UP29" i="5"/>
  <c r="UC29" i="5"/>
  <c r="TP29" i="5"/>
  <c r="MX29" i="5"/>
  <c r="MK29" i="5"/>
  <c r="LX29" i="5"/>
  <c r="LJ29" i="5"/>
  <c r="KW29" i="5"/>
  <c r="KJ29" i="5"/>
  <c r="JV29" i="5"/>
  <c r="JI29" i="5"/>
  <c r="IV29" i="5"/>
  <c r="IH29" i="5"/>
  <c r="HU29" i="5"/>
  <c r="HH29" i="5"/>
  <c r="GT29" i="5"/>
  <c r="GG29" i="5"/>
  <c r="FT29" i="5"/>
  <c r="FF29" i="5"/>
  <c r="ES29" i="5"/>
  <c r="EF29" i="5"/>
  <c r="DR29" i="5"/>
  <c r="DE29" i="5"/>
  <c r="CR29" i="5"/>
  <c r="CD29" i="5"/>
  <c r="BQ29" i="5"/>
  <c r="BD29" i="5"/>
  <c r="AP29" i="5"/>
  <c r="AC29" i="5"/>
  <c r="P29" i="5"/>
  <c r="UP28" i="5"/>
  <c r="UC28" i="5"/>
  <c r="TP28" i="5"/>
  <c r="MX28" i="5"/>
  <c r="MK28" i="5"/>
  <c r="LX28" i="5"/>
  <c r="LJ28" i="5"/>
  <c r="KW28" i="5"/>
  <c r="KJ28" i="5"/>
  <c r="JV28" i="5"/>
  <c r="JI28" i="5"/>
  <c r="IV28" i="5"/>
  <c r="IH28" i="5"/>
  <c r="HU28" i="5"/>
  <c r="HH28" i="5"/>
  <c r="GT28" i="5"/>
  <c r="GG28" i="5"/>
  <c r="FT28" i="5"/>
  <c r="FF28" i="5"/>
  <c r="ES28" i="5"/>
  <c r="EF28" i="5"/>
  <c r="DR28" i="5"/>
  <c r="DE28" i="5"/>
  <c r="CR28" i="5"/>
  <c r="CD28" i="5"/>
  <c r="BQ28" i="5"/>
  <c r="BD28" i="5"/>
  <c r="AP28" i="5"/>
  <c r="AC28" i="5"/>
  <c r="P28" i="5"/>
  <c r="UP27" i="5"/>
  <c r="UC27" i="5"/>
  <c r="TP27" i="5"/>
  <c r="MX27" i="5"/>
  <c r="MK27" i="5"/>
  <c r="LX27" i="5"/>
  <c r="LJ27" i="5"/>
  <c r="KW27" i="5"/>
  <c r="KJ27" i="5"/>
  <c r="JV27" i="5"/>
  <c r="JI27" i="5"/>
  <c r="IV27" i="5"/>
  <c r="IH27" i="5"/>
  <c r="HU27" i="5"/>
  <c r="HH27" i="5"/>
  <c r="GT27" i="5"/>
  <c r="GG27" i="5"/>
  <c r="FT27" i="5"/>
  <c r="FF27" i="5"/>
  <c r="ES27" i="5"/>
  <c r="EF27" i="5"/>
  <c r="DR27" i="5"/>
  <c r="DE27" i="5"/>
  <c r="CR27" i="5"/>
  <c r="CD27" i="5"/>
  <c r="BQ27" i="5"/>
  <c r="BD27" i="5"/>
  <c r="AP27" i="5"/>
  <c r="AC27" i="5"/>
  <c r="P27" i="5"/>
  <c r="UP26" i="5"/>
  <c r="UC26" i="5"/>
  <c r="TP26" i="5"/>
  <c r="MX26" i="5"/>
  <c r="MK26" i="5"/>
  <c r="LX26" i="5"/>
  <c r="LJ26" i="5"/>
  <c r="KW26" i="5"/>
  <c r="KJ26" i="5"/>
  <c r="JV26" i="5"/>
  <c r="JI26" i="5"/>
  <c r="IV26" i="5"/>
  <c r="IH26" i="5"/>
  <c r="HU26" i="5"/>
  <c r="HH26" i="5"/>
  <c r="GT26" i="5"/>
  <c r="GG26" i="5"/>
  <c r="FT26" i="5"/>
  <c r="FF26" i="5"/>
  <c r="ES26" i="5"/>
  <c r="EF26" i="5"/>
  <c r="DR26" i="5"/>
  <c r="DE26" i="5"/>
  <c r="CR26" i="5"/>
  <c r="CD26" i="5"/>
  <c r="BQ26" i="5"/>
  <c r="BD26" i="5"/>
  <c r="AP26" i="5"/>
  <c r="AC26" i="5"/>
  <c r="P26" i="5"/>
  <c r="UP25" i="5"/>
  <c r="UC25" i="5"/>
  <c r="TP25" i="5"/>
  <c r="MX25" i="5"/>
  <c r="MK25" i="5"/>
  <c r="LX25" i="5"/>
  <c r="LJ25" i="5"/>
  <c r="KW25" i="5"/>
  <c r="KJ25" i="5"/>
  <c r="JV25" i="5"/>
  <c r="JI25" i="5"/>
  <c r="IV25" i="5"/>
  <c r="IH25" i="5"/>
  <c r="HU25" i="5"/>
  <c r="HH25" i="5"/>
  <c r="GT25" i="5"/>
  <c r="GG25" i="5"/>
  <c r="FT25" i="5"/>
  <c r="FF25" i="5"/>
  <c r="ES25" i="5"/>
  <c r="EF25" i="5"/>
  <c r="DR25" i="5"/>
  <c r="DE25" i="5"/>
  <c r="CR25" i="5"/>
  <c r="CD25" i="5"/>
  <c r="BQ25" i="5"/>
  <c r="BD25" i="5"/>
  <c r="AP25" i="5"/>
  <c r="AC25" i="5"/>
  <c r="P25" i="5"/>
  <c r="UP24" i="5"/>
  <c r="UC24" i="5"/>
  <c r="TP24" i="5"/>
  <c r="MX24" i="5"/>
  <c r="MK24" i="5"/>
  <c r="LX24" i="5"/>
  <c r="LJ24" i="5"/>
  <c r="KW24" i="5"/>
  <c r="KJ24" i="5"/>
  <c r="JV24" i="5"/>
  <c r="JI24" i="5"/>
  <c r="IV24" i="5"/>
  <c r="IH24" i="5"/>
  <c r="HU24" i="5"/>
  <c r="HH24" i="5"/>
  <c r="GT24" i="5"/>
  <c r="GG24" i="5"/>
  <c r="FT24" i="5"/>
  <c r="FF24" i="5"/>
  <c r="ES24" i="5"/>
  <c r="EF24" i="5"/>
  <c r="DR24" i="5"/>
  <c r="DE24" i="5"/>
  <c r="CR24" i="5"/>
  <c r="CD24" i="5"/>
  <c r="BQ24" i="5"/>
  <c r="BD24" i="5"/>
  <c r="AP24" i="5"/>
  <c r="AC24" i="5"/>
  <c r="P24" i="5"/>
  <c r="UP23" i="5"/>
  <c r="UC23" i="5"/>
  <c r="TP23" i="5"/>
  <c r="MX23" i="5"/>
  <c r="MK23" i="5"/>
  <c r="LX23" i="5"/>
  <c r="LJ23" i="5"/>
  <c r="KW23" i="5"/>
  <c r="KJ23" i="5"/>
  <c r="JV23" i="5"/>
  <c r="JI23" i="5"/>
  <c r="IV23" i="5"/>
  <c r="IH23" i="5"/>
  <c r="HU23" i="5"/>
  <c r="HH23" i="5"/>
  <c r="GT23" i="5"/>
  <c r="GG23" i="5"/>
  <c r="FT23" i="5"/>
  <c r="FF23" i="5"/>
  <c r="ES23" i="5"/>
  <c r="EF23" i="5"/>
  <c r="DR23" i="5"/>
  <c r="DE23" i="5"/>
  <c r="CR23" i="5"/>
  <c r="CD23" i="5"/>
  <c r="BQ23" i="5"/>
  <c r="BD23" i="5"/>
  <c r="AP23" i="5"/>
  <c r="AC23" i="5"/>
  <c r="P23" i="5"/>
  <c r="UP22" i="5"/>
  <c r="UC22" i="5"/>
  <c r="TP22" i="5"/>
  <c r="MX22" i="5"/>
  <c r="MK22" i="5"/>
  <c r="LX22" i="5"/>
  <c r="LJ22" i="5"/>
  <c r="KW22" i="5"/>
  <c r="KJ22" i="5"/>
  <c r="JV22" i="5"/>
  <c r="JI22" i="5"/>
  <c r="IV22" i="5"/>
  <c r="IH22" i="5"/>
  <c r="HU22" i="5"/>
  <c r="HH22" i="5"/>
  <c r="GT22" i="5"/>
  <c r="GG22" i="5"/>
  <c r="FT22" i="5"/>
  <c r="FF22" i="5"/>
  <c r="ES22" i="5"/>
  <c r="EF22" i="5"/>
  <c r="DR22" i="5"/>
  <c r="DE22" i="5"/>
  <c r="CR22" i="5"/>
  <c r="CD22" i="5"/>
  <c r="BQ22" i="5"/>
  <c r="BD22" i="5"/>
  <c r="AP22" i="5"/>
  <c r="AC22" i="5"/>
  <c r="P22" i="5"/>
  <c r="UP21" i="5"/>
  <c r="UC21" i="5"/>
  <c r="TP21" i="5"/>
  <c r="MX21" i="5"/>
  <c r="MK21" i="5"/>
  <c r="LX21" i="5"/>
  <c r="LJ21" i="5"/>
  <c r="KW21" i="5"/>
  <c r="KJ21" i="5"/>
  <c r="JV21" i="5"/>
  <c r="JI21" i="5"/>
  <c r="IV21" i="5"/>
  <c r="IH21" i="5"/>
  <c r="HU21" i="5"/>
  <c r="HH21" i="5"/>
  <c r="GT21" i="5"/>
  <c r="GG21" i="5"/>
  <c r="FT21" i="5"/>
  <c r="FF21" i="5"/>
  <c r="ES21" i="5"/>
  <c r="EF21" i="5"/>
  <c r="DR21" i="5"/>
  <c r="DE21" i="5"/>
  <c r="CR21" i="5"/>
  <c r="CD21" i="5"/>
  <c r="BQ21" i="5"/>
  <c r="BD21" i="5"/>
  <c r="AP21" i="5"/>
  <c r="AC21" i="5"/>
  <c r="P21" i="5"/>
  <c r="UP20" i="5"/>
  <c r="UC20" i="5"/>
  <c r="TP20" i="5"/>
  <c r="MX20" i="5"/>
  <c r="MK20" i="5"/>
  <c r="LX20" i="5"/>
  <c r="LJ20" i="5"/>
  <c r="KW20" i="5"/>
  <c r="KJ20" i="5"/>
  <c r="JV20" i="5"/>
  <c r="JI20" i="5"/>
  <c r="IV20" i="5"/>
  <c r="IH20" i="5"/>
  <c r="HU20" i="5"/>
  <c r="HH20" i="5"/>
  <c r="GT20" i="5"/>
  <c r="GG20" i="5"/>
  <c r="FT20" i="5"/>
  <c r="FF20" i="5"/>
  <c r="ES20" i="5"/>
  <c r="EF20" i="5"/>
  <c r="DR20" i="5"/>
  <c r="DE20" i="5"/>
  <c r="CR20" i="5"/>
  <c r="CD20" i="5"/>
  <c r="BQ20" i="5"/>
  <c r="BD20" i="5"/>
  <c r="AP20" i="5"/>
  <c r="AC20" i="5"/>
  <c r="P20" i="5"/>
  <c r="UP19" i="5"/>
  <c r="UC19" i="5"/>
  <c r="TP19" i="5"/>
  <c r="MX19" i="5"/>
  <c r="MK19" i="5"/>
  <c r="LX19" i="5"/>
  <c r="LJ19" i="5"/>
  <c r="KW19" i="5"/>
  <c r="KJ19" i="5"/>
  <c r="JV19" i="5"/>
  <c r="JI19" i="5"/>
  <c r="IV19" i="5"/>
  <c r="IH19" i="5"/>
  <c r="HU19" i="5"/>
  <c r="HH19" i="5"/>
  <c r="GT19" i="5"/>
  <c r="GG19" i="5"/>
  <c r="FT19" i="5"/>
  <c r="FF19" i="5"/>
  <c r="ES19" i="5"/>
  <c r="EF19" i="5"/>
  <c r="DR19" i="5"/>
  <c r="DE19" i="5"/>
  <c r="CR19" i="5"/>
  <c r="CD19" i="5"/>
  <c r="BQ19" i="5"/>
  <c r="BD19" i="5"/>
  <c r="AP19" i="5"/>
  <c r="AC19" i="5"/>
  <c r="P19" i="5"/>
  <c r="UP18" i="5"/>
  <c r="UC18" i="5"/>
  <c r="TP18" i="5"/>
  <c r="MX18" i="5"/>
  <c r="MK18" i="5"/>
  <c r="LX18" i="5"/>
  <c r="LJ18" i="5"/>
  <c r="KW18" i="5"/>
  <c r="KJ18" i="5"/>
  <c r="JV18" i="5"/>
  <c r="JI18" i="5"/>
  <c r="IV18" i="5"/>
  <c r="IH18" i="5"/>
  <c r="HU18" i="5"/>
  <c r="HH18" i="5"/>
  <c r="GT18" i="5"/>
  <c r="GG18" i="5"/>
  <c r="FT18" i="5"/>
  <c r="FF18" i="5"/>
  <c r="ES18" i="5"/>
  <c r="EF18" i="5"/>
  <c r="DR18" i="5"/>
  <c r="DE18" i="5"/>
  <c r="CR18" i="5"/>
  <c r="CD18" i="5"/>
  <c r="BQ18" i="5"/>
  <c r="BD18" i="5"/>
  <c r="AP18" i="5"/>
  <c r="AC18" i="5"/>
  <c r="P18" i="5"/>
  <c r="UP17" i="5"/>
  <c r="UC17" i="5"/>
  <c r="TP17" i="5"/>
  <c r="MX17" i="5"/>
  <c r="MK17" i="5"/>
  <c r="LX17" i="5"/>
  <c r="LJ17" i="5"/>
  <c r="KW17" i="5"/>
  <c r="KJ17" i="5"/>
  <c r="JV17" i="5"/>
  <c r="JI17" i="5"/>
  <c r="IV17" i="5"/>
  <c r="IH17" i="5"/>
  <c r="HU17" i="5"/>
  <c r="HH17" i="5"/>
  <c r="GT17" i="5"/>
  <c r="GG17" i="5"/>
  <c r="FT17" i="5"/>
  <c r="FF17" i="5"/>
  <c r="ES17" i="5"/>
  <c r="EF17" i="5"/>
  <c r="DR17" i="5"/>
  <c r="DE17" i="5"/>
  <c r="CR17" i="5"/>
  <c r="CD17" i="5"/>
  <c r="BQ17" i="5"/>
  <c r="BD17" i="5"/>
  <c r="AP17" i="5"/>
  <c r="AC17" i="5"/>
  <c r="P17" i="5"/>
  <c r="UP16" i="5"/>
  <c r="UC16" i="5"/>
  <c r="TP16" i="5"/>
  <c r="MX16" i="5"/>
  <c r="MK16" i="5"/>
  <c r="LX16" i="5"/>
  <c r="LJ16" i="5"/>
  <c r="KW16" i="5"/>
  <c r="KJ16" i="5"/>
  <c r="JV16" i="5"/>
  <c r="JI16" i="5"/>
  <c r="IV16" i="5"/>
  <c r="IH16" i="5"/>
  <c r="HU16" i="5"/>
  <c r="HH16" i="5"/>
  <c r="GT16" i="5"/>
  <c r="GG16" i="5"/>
  <c r="FT16" i="5"/>
  <c r="FF16" i="5"/>
  <c r="ES16" i="5"/>
  <c r="EF16" i="5"/>
  <c r="DR16" i="5"/>
  <c r="DE16" i="5"/>
  <c r="CR16" i="5"/>
  <c r="CD16" i="5"/>
  <c r="BQ16" i="5"/>
  <c r="BD16" i="5"/>
  <c r="AP16" i="5"/>
  <c r="AC16" i="5"/>
  <c r="P16" i="5"/>
  <c r="UP15" i="5"/>
  <c r="UC15" i="5"/>
  <c r="TP15" i="5"/>
  <c r="MX15" i="5"/>
  <c r="MK15" i="5"/>
  <c r="LX15" i="5"/>
  <c r="LJ15" i="5"/>
  <c r="KW15" i="5"/>
  <c r="KJ15" i="5"/>
  <c r="JV15" i="5"/>
  <c r="JI15" i="5"/>
  <c r="IV15" i="5"/>
  <c r="IH15" i="5"/>
  <c r="HU15" i="5"/>
  <c r="HH15" i="5"/>
  <c r="GT15" i="5"/>
  <c r="GG15" i="5"/>
  <c r="FT15" i="5"/>
  <c r="FF15" i="5"/>
  <c r="ES15" i="5"/>
  <c r="EF15" i="5"/>
  <c r="DR15" i="5"/>
  <c r="DE15" i="5"/>
  <c r="CR15" i="5"/>
  <c r="CD15" i="5"/>
  <c r="BQ15" i="5"/>
  <c r="BD15" i="5"/>
  <c r="AP15" i="5"/>
  <c r="AC15" i="5"/>
  <c r="P15" i="5"/>
  <c r="UP14" i="5"/>
  <c r="UC14" i="5"/>
  <c r="TP14" i="5"/>
  <c r="MX14" i="5"/>
  <c r="MK14" i="5"/>
  <c r="LX14" i="5"/>
  <c r="LJ14" i="5"/>
  <c r="KW14" i="5"/>
  <c r="KJ14" i="5"/>
  <c r="JV14" i="5"/>
  <c r="JI14" i="5"/>
  <c r="IV14" i="5"/>
  <c r="IH14" i="5"/>
  <c r="HU14" i="5"/>
  <c r="HH14" i="5"/>
  <c r="GT14" i="5"/>
  <c r="GG14" i="5"/>
  <c r="FT14" i="5"/>
  <c r="FF14" i="5"/>
  <c r="ES14" i="5"/>
  <c r="EF14" i="5"/>
  <c r="DR14" i="5"/>
  <c r="DE14" i="5"/>
  <c r="CR14" i="5"/>
  <c r="CD14" i="5"/>
  <c r="BQ14" i="5"/>
  <c r="BD14" i="5"/>
  <c r="AP14" i="5"/>
  <c r="AC14" i="5"/>
  <c r="P14" i="5"/>
  <c r="UP13" i="5"/>
  <c r="UC13" i="5"/>
  <c r="TP13" i="5"/>
  <c r="MX13" i="5"/>
  <c r="MK13" i="5"/>
  <c r="LX13" i="5"/>
  <c r="LJ13" i="5"/>
  <c r="KW13" i="5"/>
  <c r="KJ13" i="5"/>
  <c r="JV13" i="5"/>
  <c r="JI13" i="5"/>
  <c r="IV13" i="5"/>
  <c r="IH13" i="5"/>
  <c r="HU13" i="5"/>
  <c r="HH13" i="5"/>
  <c r="GT13" i="5"/>
  <c r="GG13" i="5"/>
  <c r="FT13" i="5"/>
  <c r="FF13" i="5"/>
  <c r="ES13" i="5"/>
  <c r="EF13" i="5"/>
  <c r="DR13" i="5"/>
  <c r="DE13" i="5"/>
  <c r="CR13" i="5"/>
  <c r="CD13" i="5"/>
  <c r="BQ13" i="5"/>
  <c r="BD13" i="5"/>
  <c r="AP13" i="5"/>
  <c r="AC13" i="5"/>
  <c r="P13" i="5"/>
  <c r="UP12" i="5"/>
  <c r="UC12" i="5"/>
  <c r="TP12" i="5"/>
  <c r="MX12" i="5"/>
  <c r="MK12" i="5"/>
  <c r="LX12" i="5"/>
  <c r="LJ12" i="5"/>
  <c r="KW12" i="5"/>
  <c r="KJ12" i="5"/>
  <c r="JV12" i="5"/>
  <c r="JI12" i="5"/>
  <c r="IV12" i="5"/>
  <c r="IH12" i="5"/>
  <c r="HU12" i="5"/>
  <c r="HH12" i="5"/>
  <c r="GT12" i="5"/>
  <c r="GG12" i="5"/>
  <c r="FT12" i="5"/>
  <c r="FF12" i="5"/>
  <c r="ES12" i="5"/>
  <c r="EF12" i="5"/>
  <c r="DR12" i="5"/>
  <c r="DE12" i="5"/>
  <c r="CR12" i="5"/>
  <c r="CD12" i="5"/>
  <c r="BQ12" i="5"/>
  <c r="BD12" i="5"/>
  <c r="AP12" i="5"/>
  <c r="AC12" i="5"/>
  <c r="P12" i="5"/>
  <c r="UP11" i="5"/>
  <c r="UC11" i="5"/>
  <c r="TP11" i="5"/>
  <c r="MX11" i="5"/>
  <c r="MK11" i="5"/>
  <c r="LX11" i="5"/>
  <c r="LJ11" i="5"/>
  <c r="KW11" i="5"/>
  <c r="KJ11" i="5"/>
  <c r="JV11" i="5"/>
  <c r="JI11" i="5"/>
  <c r="IV11" i="5"/>
  <c r="IH11" i="5"/>
  <c r="HU11" i="5"/>
  <c r="HH11" i="5"/>
  <c r="GT11" i="5"/>
  <c r="GG11" i="5"/>
  <c r="FT11" i="5"/>
  <c r="FF11" i="5"/>
  <c r="ES11" i="5"/>
  <c r="EF11" i="5"/>
  <c r="DR11" i="5"/>
  <c r="DE11" i="5"/>
  <c r="CR11" i="5"/>
  <c r="CD11" i="5"/>
  <c r="BQ11" i="5"/>
  <c r="BD11" i="5"/>
  <c r="AP11" i="5"/>
  <c r="AC11" i="5"/>
  <c r="P11" i="5"/>
  <c r="UP10" i="5"/>
  <c r="UC10" i="5"/>
  <c r="TP10" i="5"/>
  <c r="MX10" i="5"/>
  <c r="MK10" i="5"/>
  <c r="LX10" i="5"/>
  <c r="LJ10" i="5"/>
  <c r="KW10" i="5"/>
  <c r="KJ10" i="5"/>
  <c r="JV10" i="5"/>
  <c r="JI10" i="5"/>
  <c r="IV10" i="5"/>
  <c r="IH10" i="5"/>
  <c r="HU10" i="5"/>
  <c r="HH10" i="5"/>
  <c r="GT10" i="5"/>
  <c r="GG10" i="5"/>
  <c r="FT10" i="5"/>
  <c r="FF10" i="5"/>
  <c r="ES10" i="5"/>
  <c r="EF10" i="5"/>
  <c r="DR10" i="5"/>
  <c r="DE10" i="5"/>
  <c r="CR10" i="5"/>
  <c r="CD10" i="5"/>
  <c r="BQ10" i="5"/>
  <c r="BD10" i="5"/>
  <c r="AP10" i="5"/>
  <c r="AC10" i="5"/>
  <c r="P10" i="5"/>
  <c r="UP9" i="5"/>
  <c r="UC9" i="5"/>
  <c r="TP9" i="5"/>
  <c r="MX9" i="5"/>
  <c r="MK9" i="5"/>
  <c r="LX9" i="5"/>
  <c r="LJ9" i="5"/>
  <c r="KW9" i="5"/>
  <c r="KJ9" i="5"/>
  <c r="JV9" i="5"/>
  <c r="JI9" i="5"/>
  <c r="IV9" i="5"/>
  <c r="IH9" i="5"/>
  <c r="HU9" i="5"/>
  <c r="HH9" i="5"/>
  <c r="GT9" i="5"/>
  <c r="GG9" i="5"/>
  <c r="FT9" i="5"/>
  <c r="FF9" i="5"/>
  <c r="ES9" i="5"/>
  <c r="EF9" i="5"/>
  <c r="DR9" i="5"/>
  <c r="DE9" i="5"/>
  <c r="CR9" i="5"/>
  <c r="CD9" i="5"/>
  <c r="BQ9" i="5"/>
  <c r="BD9" i="5"/>
  <c r="AP9" i="5"/>
  <c r="AC9" i="5"/>
  <c r="P9" i="5"/>
  <c r="UP8" i="5"/>
  <c r="UC8" i="5"/>
  <c r="TP8" i="5"/>
  <c r="MX8" i="5"/>
  <c r="MK8" i="5"/>
  <c r="LX8" i="5"/>
  <c r="LJ8" i="5"/>
  <c r="KW8" i="5"/>
  <c r="KJ8" i="5"/>
  <c r="JV8" i="5"/>
  <c r="JI8" i="5"/>
  <c r="IV8" i="5"/>
  <c r="IH8" i="5"/>
  <c r="HU8" i="5"/>
  <c r="HH8" i="5"/>
  <c r="GT8" i="5"/>
  <c r="GG8" i="5"/>
  <c r="FT8" i="5"/>
  <c r="FF8" i="5"/>
  <c r="ES8" i="5"/>
  <c r="EF8" i="5"/>
  <c r="DR8" i="5"/>
  <c r="DE8" i="5"/>
  <c r="CR8" i="5"/>
  <c r="CD8" i="5"/>
  <c r="BQ8" i="5"/>
  <c r="BD8" i="5"/>
  <c r="AP8" i="5"/>
  <c r="AC8" i="5"/>
  <c r="P8" i="5"/>
  <c r="UP7" i="5"/>
  <c r="UC7" i="5"/>
  <c r="TP7" i="5"/>
  <c r="MX7" i="5"/>
  <c r="MK7" i="5"/>
  <c r="LX7" i="5"/>
  <c r="LJ7" i="5"/>
  <c r="KW7" i="5"/>
  <c r="KJ7" i="5"/>
  <c r="JV7" i="5"/>
  <c r="JI7" i="5"/>
  <c r="IV7" i="5"/>
  <c r="IH7" i="5"/>
  <c r="HU7" i="5"/>
  <c r="HH7" i="5"/>
  <c r="GT7" i="5"/>
  <c r="GG7" i="5"/>
  <c r="FT7" i="5"/>
  <c r="FF7" i="5"/>
  <c r="ES7" i="5"/>
  <c r="EF7" i="5"/>
  <c r="DR7" i="5"/>
  <c r="DE7" i="5"/>
  <c r="CR7" i="5"/>
  <c r="CD7" i="5"/>
  <c r="BQ7" i="5"/>
  <c r="BD7" i="5"/>
  <c r="AP7" i="5"/>
  <c r="AC7" i="5"/>
  <c r="P7" i="5"/>
  <c r="UP6" i="5"/>
  <c r="UC6" i="5"/>
  <c r="TP6" i="5"/>
  <c r="MX6" i="5"/>
  <c r="MK6" i="5"/>
  <c r="LX6" i="5"/>
  <c r="LJ6" i="5"/>
  <c r="KW6" i="5"/>
  <c r="KJ6" i="5"/>
  <c r="JV6" i="5"/>
  <c r="JI6" i="5"/>
  <c r="IV6" i="5"/>
  <c r="IH6" i="5"/>
  <c r="HU6" i="5"/>
  <c r="HH6" i="5"/>
  <c r="GT6" i="5"/>
  <c r="GG6" i="5"/>
  <c r="FT6" i="5"/>
  <c r="FF6" i="5"/>
  <c r="ES6" i="5"/>
  <c r="EF6" i="5"/>
  <c r="DR6" i="5"/>
  <c r="DE6" i="5"/>
  <c r="CR6" i="5"/>
  <c r="CD6" i="5"/>
  <c r="BQ6" i="5"/>
  <c r="BD6" i="5"/>
  <c r="AP6" i="5"/>
  <c r="AC6" i="5"/>
  <c r="P6" i="5"/>
  <c r="GS40" i="4"/>
  <c r="GR40" i="4"/>
  <c r="GQ40" i="4"/>
  <c r="GP40" i="4"/>
  <c r="GO40" i="4"/>
  <c r="GN40" i="4"/>
  <c r="GM40" i="4"/>
  <c r="GL40" i="4"/>
  <c r="GK40" i="4"/>
  <c r="GJ40" i="4"/>
  <c r="GI40" i="4"/>
  <c r="GH40" i="4"/>
  <c r="GF40" i="4"/>
  <c r="GE40" i="4"/>
  <c r="GD40" i="4"/>
  <c r="GC40" i="4"/>
  <c r="GB40" i="4"/>
  <c r="GA40" i="4"/>
  <c r="FZ40" i="4"/>
  <c r="FY40" i="4"/>
  <c r="FX40" i="4"/>
  <c r="FW40" i="4"/>
  <c r="FV40" i="4"/>
  <c r="FU40" i="4"/>
  <c r="FS40" i="4"/>
  <c r="FR40" i="4"/>
  <c r="FQ40" i="4"/>
  <c r="FP40" i="4"/>
  <c r="FO40" i="4"/>
  <c r="FN40" i="4"/>
  <c r="FM40" i="4"/>
  <c r="FL40" i="4"/>
  <c r="FK40" i="4"/>
  <c r="FJ40" i="4"/>
  <c r="FI40" i="4"/>
  <c r="FH40" i="4"/>
  <c r="FE40" i="4"/>
  <c r="FD40" i="4"/>
  <c r="FC40" i="4"/>
  <c r="FB40" i="4"/>
  <c r="FA40" i="4"/>
  <c r="EZ40" i="4"/>
  <c r="EY40" i="4"/>
  <c r="EX40" i="4"/>
  <c r="EW40" i="4"/>
  <c r="EV40" i="4"/>
  <c r="EU40" i="4"/>
  <c r="ET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B40" i="4"/>
  <c r="AA40" i="4"/>
  <c r="Z40" i="4"/>
  <c r="Y40" i="4"/>
  <c r="X40" i="4"/>
  <c r="W40" i="4"/>
  <c r="V40" i="4"/>
  <c r="U40" i="4"/>
  <c r="T40" i="4"/>
  <c r="S40" i="4"/>
  <c r="R40" i="4"/>
  <c r="Q40" i="4"/>
  <c r="O40" i="4"/>
  <c r="N40" i="4"/>
  <c r="M40" i="4"/>
  <c r="L40" i="4"/>
  <c r="K40" i="4"/>
  <c r="J40" i="4"/>
  <c r="I40" i="4"/>
  <c r="H40" i="4"/>
  <c r="G40" i="4"/>
  <c r="F40" i="4"/>
  <c r="E40" i="4"/>
  <c r="D40" i="4"/>
  <c r="GT39" i="4"/>
  <c r="GG39" i="4"/>
  <c r="FT39" i="4"/>
  <c r="FF39" i="4"/>
  <c r="ES39" i="4"/>
  <c r="EF39" i="4"/>
  <c r="DR39" i="4"/>
  <c r="DE39" i="4"/>
  <c r="CR39" i="4"/>
  <c r="CD39" i="4"/>
  <c r="BQ39" i="4"/>
  <c r="BD39" i="4"/>
  <c r="AP39" i="4"/>
  <c r="AC39" i="4"/>
  <c r="P39" i="4"/>
  <c r="GT38" i="4"/>
  <c r="GG38" i="4"/>
  <c r="FT38" i="4"/>
  <c r="FF38" i="4"/>
  <c r="ES38" i="4"/>
  <c r="EF38" i="4"/>
  <c r="DR38" i="4"/>
  <c r="DE38" i="4"/>
  <c r="CR38" i="4"/>
  <c r="CD38" i="4"/>
  <c r="BQ38" i="4"/>
  <c r="BD38" i="4"/>
  <c r="AP38" i="4"/>
  <c r="AC38" i="4"/>
  <c r="P38" i="4"/>
  <c r="GT37" i="4"/>
  <c r="GG37" i="4"/>
  <c r="FT37" i="4"/>
  <c r="FF37" i="4"/>
  <c r="ES37" i="4"/>
  <c r="EF37" i="4"/>
  <c r="DR37" i="4"/>
  <c r="DE37" i="4"/>
  <c r="CR37" i="4"/>
  <c r="CD37" i="4"/>
  <c r="BQ37" i="4"/>
  <c r="BD37" i="4"/>
  <c r="AP37" i="4"/>
  <c r="AC37" i="4"/>
  <c r="P37" i="4"/>
  <c r="GT36" i="4"/>
  <c r="GG36" i="4"/>
  <c r="FT36" i="4"/>
  <c r="FF36" i="4"/>
  <c r="ES36" i="4"/>
  <c r="EF36" i="4"/>
  <c r="DR36" i="4"/>
  <c r="DE36" i="4"/>
  <c r="CR36" i="4"/>
  <c r="CD36" i="4"/>
  <c r="BQ36" i="4"/>
  <c r="BD36" i="4"/>
  <c r="AP36" i="4"/>
  <c r="AC36" i="4"/>
  <c r="P36" i="4"/>
  <c r="GT35" i="4"/>
  <c r="GG35" i="4"/>
  <c r="FT35" i="4"/>
  <c r="FF35" i="4"/>
  <c r="ES35" i="4"/>
  <c r="EF35" i="4"/>
  <c r="DR35" i="4"/>
  <c r="DE35" i="4"/>
  <c r="CR35" i="4"/>
  <c r="CD35" i="4"/>
  <c r="BQ35" i="4"/>
  <c r="BD35" i="4"/>
  <c r="AP35" i="4"/>
  <c r="AC35" i="4"/>
  <c r="P35" i="4"/>
  <c r="GT34" i="4"/>
  <c r="GG34" i="4"/>
  <c r="FT34" i="4"/>
  <c r="FF34" i="4"/>
  <c r="ES34" i="4"/>
  <c r="EF34" i="4"/>
  <c r="DR34" i="4"/>
  <c r="DE34" i="4"/>
  <c r="CR34" i="4"/>
  <c r="CD34" i="4"/>
  <c r="BQ34" i="4"/>
  <c r="BD34" i="4"/>
  <c r="AP34" i="4"/>
  <c r="AC34" i="4"/>
  <c r="P34" i="4"/>
  <c r="GT33" i="4"/>
  <c r="GG33" i="4"/>
  <c r="FT33" i="4"/>
  <c r="FF33" i="4"/>
  <c r="ES33" i="4"/>
  <c r="EF33" i="4"/>
  <c r="DR33" i="4"/>
  <c r="DE33" i="4"/>
  <c r="CR33" i="4"/>
  <c r="CD33" i="4"/>
  <c r="BQ33" i="4"/>
  <c r="BD33" i="4"/>
  <c r="AP33" i="4"/>
  <c r="AC33" i="4"/>
  <c r="P33" i="4"/>
  <c r="GT32" i="4"/>
  <c r="GG32" i="4"/>
  <c r="FT32" i="4"/>
  <c r="FF32" i="4"/>
  <c r="ES32" i="4"/>
  <c r="EF32" i="4"/>
  <c r="DR32" i="4"/>
  <c r="DE32" i="4"/>
  <c r="CR32" i="4"/>
  <c r="CD32" i="4"/>
  <c r="BQ32" i="4"/>
  <c r="BD32" i="4"/>
  <c r="AP32" i="4"/>
  <c r="AC32" i="4"/>
  <c r="P32" i="4"/>
  <c r="GT31" i="4"/>
  <c r="GG31" i="4"/>
  <c r="FT31" i="4"/>
  <c r="FF31" i="4"/>
  <c r="ES31" i="4"/>
  <c r="EF31" i="4"/>
  <c r="DR31" i="4"/>
  <c r="DE31" i="4"/>
  <c r="CR31" i="4"/>
  <c r="CD31" i="4"/>
  <c r="BQ31" i="4"/>
  <c r="BD31" i="4"/>
  <c r="AP31" i="4"/>
  <c r="AC31" i="4"/>
  <c r="P31" i="4"/>
  <c r="GT30" i="4"/>
  <c r="GG30" i="4"/>
  <c r="FT30" i="4"/>
  <c r="FF30" i="4"/>
  <c r="ES30" i="4"/>
  <c r="EF30" i="4"/>
  <c r="DR30" i="4"/>
  <c r="DE30" i="4"/>
  <c r="CR30" i="4"/>
  <c r="CD30" i="4"/>
  <c r="BQ30" i="4"/>
  <c r="BD30" i="4"/>
  <c r="AP30" i="4"/>
  <c r="AC30" i="4"/>
  <c r="P30" i="4"/>
  <c r="GT29" i="4"/>
  <c r="GG29" i="4"/>
  <c r="FT29" i="4"/>
  <c r="FF29" i="4"/>
  <c r="ES29" i="4"/>
  <c r="EF29" i="4"/>
  <c r="DR29" i="4"/>
  <c r="DE29" i="4"/>
  <c r="CR29" i="4"/>
  <c r="CD29" i="4"/>
  <c r="BQ29" i="4"/>
  <c r="BD29" i="4"/>
  <c r="AP29" i="4"/>
  <c r="AC29" i="4"/>
  <c r="P29" i="4"/>
  <c r="GT28" i="4"/>
  <c r="GG28" i="4"/>
  <c r="FT28" i="4"/>
  <c r="FF28" i="4"/>
  <c r="ES28" i="4"/>
  <c r="EF28" i="4"/>
  <c r="DR28" i="4"/>
  <c r="DE28" i="4"/>
  <c r="CR28" i="4"/>
  <c r="CD28" i="4"/>
  <c r="BQ28" i="4"/>
  <c r="BD28" i="4"/>
  <c r="AP28" i="4"/>
  <c r="AC28" i="4"/>
  <c r="P28" i="4"/>
  <c r="GT27" i="4"/>
  <c r="GG27" i="4"/>
  <c r="FT27" i="4"/>
  <c r="FF27" i="4"/>
  <c r="ES27" i="4"/>
  <c r="EF27" i="4"/>
  <c r="DR27" i="4"/>
  <c r="DE27" i="4"/>
  <c r="CR27" i="4"/>
  <c r="CD27" i="4"/>
  <c r="BQ27" i="4"/>
  <c r="BD27" i="4"/>
  <c r="AP27" i="4"/>
  <c r="AC27" i="4"/>
  <c r="P27" i="4"/>
  <c r="GT26" i="4"/>
  <c r="GG26" i="4"/>
  <c r="FT26" i="4"/>
  <c r="FF26" i="4"/>
  <c r="ES26" i="4"/>
  <c r="EF26" i="4"/>
  <c r="DR26" i="4"/>
  <c r="DE26" i="4"/>
  <c r="CR26" i="4"/>
  <c r="CD26" i="4"/>
  <c r="BQ26" i="4"/>
  <c r="BD26" i="4"/>
  <c r="AP26" i="4"/>
  <c r="AC26" i="4"/>
  <c r="P26" i="4"/>
  <c r="GT25" i="4"/>
  <c r="GG25" i="4"/>
  <c r="FT25" i="4"/>
  <c r="FF25" i="4"/>
  <c r="ES25" i="4"/>
  <c r="EF25" i="4"/>
  <c r="DR25" i="4"/>
  <c r="DE25" i="4"/>
  <c r="CR25" i="4"/>
  <c r="CD25" i="4"/>
  <c r="BQ25" i="4"/>
  <c r="BD25" i="4"/>
  <c r="AP25" i="4"/>
  <c r="AC25" i="4"/>
  <c r="P25" i="4"/>
  <c r="GT24" i="4"/>
  <c r="GG24" i="4"/>
  <c r="FT24" i="4"/>
  <c r="FF24" i="4"/>
  <c r="ES24" i="4"/>
  <c r="EF24" i="4"/>
  <c r="DR24" i="4"/>
  <c r="DE24" i="4"/>
  <c r="CR24" i="4"/>
  <c r="CD24" i="4"/>
  <c r="BQ24" i="4"/>
  <c r="BD24" i="4"/>
  <c r="AP24" i="4"/>
  <c r="AC24" i="4"/>
  <c r="P24" i="4"/>
  <c r="GT23" i="4"/>
  <c r="GG23" i="4"/>
  <c r="FT23" i="4"/>
  <c r="FF23" i="4"/>
  <c r="ES23" i="4"/>
  <c r="EF23" i="4"/>
  <c r="DR23" i="4"/>
  <c r="DE23" i="4"/>
  <c r="CR23" i="4"/>
  <c r="CD23" i="4"/>
  <c r="BQ23" i="4"/>
  <c r="BD23" i="4"/>
  <c r="AP23" i="4"/>
  <c r="AC23" i="4"/>
  <c r="P23" i="4"/>
  <c r="GT22" i="4"/>
  <c r="GG22" i="4"/>
  <c r="FT22" i="4"/>
  <c r="FF22" i="4"/>
  <c r="ES22" i="4"/>
  <c r="EF22" i="4"/>
  <c r="DR22" i="4"/>
  <c r="DE22" i="4"/>
  <c r="CR22" i="4"/>
  <c r="CD22" i="4"/>
  <c r="BQ22" i="4"/>
  <c r="BD22" i="4"/>
  <c r="AP22" i="4"/>
  <c r="AC22" i="4"/>
  <c r="P22" i="4"/>
  <c r="GT21" i="4"/>
  <c r="GG21" i="4"/>
  <c r="FT21" i="4"/>
  <c r="FF21" i="4"/>
  <c r="ES21" i="4"/>
  <c r="EF21" i="4"/>
  <c r="DR21" i="4"/>
  <c r="DE21" i="4"/>
  <c r="CR21" i="4"/>
  <c r="CD21" i="4"/>
  <c r="BQ21" i="4"/>
  <c r="BD21" i="4"/>
  <c r="AP21" i="4"/>
  <c r="AC21" i="4"/>
  <c r="P21" i="4"/>
  <c r="GT20" i="4"/>
  <c r="GG20" i="4"/>
  <c r="FT20" i="4"/>
  <c r="FF20" i="4"/>
  <c r="ES20" i="4"/>
  <c r="EF20" i="4"/>
  <c r="DR20" i="4"/>
  <c r="DE20" i="4"/>
  <c r="CR20" i="4"/>
  <c r="CD20" i="4"/>
  <c r="BQ20" i="4"/>
  <c r="BD20" i="4"/>
  <c r="AP20" i="4"/>
  <c r="AC20" i="4"/>
  <c r="P20" i="4"/>
  <c r="GT19" i="4"/>
  <c r="GG19" i="4"/>
  <c r="FT19" i="4"/>
  <c r="FF19" i="4"/>
  <c r="ES19" i="4"/>
  <c r="EF19" i="4"/>
  <c r="DR19" i="4"/>
  <c r="DE19" i="4"/>
  <c r="CR19" i="4"/>
  <c r="CD19" i="4"/>
  <c r="BQ19" i="4"/>
  <c r="BD19" i="4"/>
  <c r="AP19" i="4"/>
  <c r="AC19" i="4"/>
  <c r="P19" i="4"/>
  <c r="GT18" i="4"/>
  <c r="GG18" i="4"/>
  <c r="FT18" i="4"/>
  <c r="FF18" i="4"/>
  <c r="ES18" i="4"/>
  <c r="EF18" i="4"/>
  <c r="DR18" i="4"/>
  <c r="DE18" i="4"/>
  <c r="CR18" i="4"/>
  <c r="CD18" i="4"/>
  <c r="BQ18" i="4"/>
  <c r="BD18" i="4"/>
  <c r="AP18" i="4"/>
  <c r="AC18" i="4"/>
  <c r="P18" i="4"/>
  <c r="GT17" i="4"/>
  <c r="GG17" i="4"/>
  <c r="FT17" i="4"/>
  <c r="FF17" i="4"/>
  <c r="ES17" i="4"/>
  <c r="EF17" i="4"/>
  <c r="DR17" i="4"/>
  <c r="DE17" i="4"/>
  <c r="CR17" i="4"/>
  <c r="CD17" i="4"/>
  <c r="BQ17" i="4"/>
  <c r="BD17" i="4"/>
  <c r="AP17" i="4"/>
  <c r="AC17" i="4"/>
  <c r="P17" i="4"/>
  <c r="GT16" i="4"/>
  <c r="GG16" i="4"/>
  <c r="FT16" i="4"/>
  <c r="FF16" i="4"/>
  <c r="ES16" i="4"/>
  <c r="EF16" i="4"/>
  <c r="DR16" i="4"/>
  <c r="DE16" i="4"/>
  <c r="CR16" i="4"/>
  <c r="CD16" i="4"/>
  <c r="BQ16" i="4"/>
  <c r="BD16" i="4"/>
  <c r="AP16" i="4"/>
  <c r="AC16" i="4"/>
  <c r="P16" i="4"/>
  <c r="GT15" i="4"/>
  <c r="GG15" i="4"/>
  <c r="FT15" i="4"/>
  <c r="FF15" i="4"/>
  <c r="ES15" i="4"/>
  <c r="EF15" i="4"/>
  <c r="DR15" i="4"/>
  <c r="DE15" i="4"/>
  <c r="CR15" i="4"/>
  <c r="CD15" i="4"/>
  <c r="BQ15" i="4"/>
  <c r="BD15" i="4"/>
  <c r="AP15" i="4"/>
  <c r="AC15" i="4"/>
  <c r="P15" i="4"/>
  <c r="GT14" i="4"/>
  <c r="GG14" i="4"/>
  <c r="FT14" i="4"/>
  <c r="FF14" i="4"/>
  <c r="ES14" i="4"/>
  <c r="EF14" i="4"/>
  <c r="DR14" i="4"/>
  <c r="DE14" i="4"/>
  <c r="CR14" i="4"/>
  <c r="CD14" i="4"/>
  <c r="BQ14" i="4"/>
  <c r="BD14" i="4"/>
  <c r="AP14" i="4"/>
  <c r="AC14" i="4"/>
  <c r="P14" i="4"/>
  <c r="GT13" i="4"/>
  <c r="GG13" i="4"/>
  <c r="FT13" i="4"/>
  <c r="FF13" i="4"/>
  <c r="ES13" i="4"/>
  <c r="EF13" i="4"/>
  <c r="DR13" i="4"/>
  <c r="DE13" i="4"/>
  <c r="CR13" i="4"/>
  <c r="CD13" i="4"/>
  <c r="BQ13" i="4"/>
  <c r="BD13" i="4"/>
  <c r="AP13" i="4"/>
  <c r="AC13" i="4"/>
  <c r="P13" i="4"/>
  <c r="GT12" i="4"/>
  <c r="GG12" i="4"/>
  <c r="FT12" i="4"/>
  <c r="FF12" i="4"/>
  <c r="ES12" i="4"/>
  <c r="EF12" i="4"/>
  <c r="DR12" i="4"/>
  <c r="DE12" i="4"/>
  <c r="CR12" i="4"/>
  <c r="CD12" i="4"/>
  <c r="BQ12" i="4"/>
  <c r="BD12" i="4"/>
  <c r="AP12" i="4"/>
  <c r="AC12" i="4"/>
  <c r="P12" i="4"/>
  <c r="GT11" i="4"/>
  <c r="GG11" i="4"/>
  <c r="FT11" i="4"/>
  <c r="FF11" i="4"/>
  <c r="ES11" i="4"/>
  <c r="EF11" i="4"/>
  <c r="DR11" i="4"/>
  <c r="DE11" i="4"/>
  <c r="CR11" i="4"/>
  <c r="CD11" i="4"/>
  <c r="BQ11" i="4"/>
  <c r="BD11" i="4"/>
  <c r="AP11" i="4"/>
  <c r="AC11" i="4"/>
  <c r="P11" i="4"/>
  <c r="GT10" i="4"/>
  <c r="GG10" i="4"/>
  <c r="FT10" i="4"/>
  <c r="FF10" i="4"/>
  <c r="ES10" i="4"/>
  <c r="EF10" i="4"/>
  <c r="DR10" i="4"/>
  <c r="DE10" i="4"/>
  <c r="CR10" i="4"/>
  <c r="CD10" i="4"/>
  <c r="BQ10" i="4"/>
  <c r="BD10" i="4"/>
  <c r="AP10" i="4"/>
  <c r="AC10" i="4"/>
  <c r="P10" i="4"/>
  <c r="GT9" i="4"/>
  <c r="GG9" i="4"/>
  <c r="FT9" i="4"/>
  <c r="FF9" i="4"/>
  <c r="ES9" i="4"/>
  <c r="EF9" i="4"/>
  <c r="DR9" i="4"/>
  <c r="DE9" i="4"/>
  <c r="CR9" i="4"/>
  <c r="CD9" i="4"/>
  <c r="BQ9" i="4"/>
  <c r="BD9" i="4"/>
  <c r="AP9" i="4"/>
  <c r="AC9" i="4"/>
  <c r="P9" i="4"/>
  <c r="GT8" i="4"/>
  <c r="GG8" i="4"/>
  <c r="FT8" i="4"/>
  <c r="FF8" i="4"/>
  <c r="ES8" i="4"/>
  <c r="EF8" i="4"/>
  <c r="DR8" i="4"/>
  <c r="DE8" i="4"/>
  <c r="CR8" i="4"/>
  <c r="CD8" i="4"/>
  <c r="BQ8" i="4"/>
  <c r="BD8" i="4"/>
  <c r="AP8" i="4"/>
  <c r="AC8" i="4"/>
  <c r="P8" i="4"/>
  <c r="GT7" i="4"/>
  <c r="GG7" i="4"/>
  <c r="FT7" i="4"/>
  <c r="FF7" i="4"/>
  <c r="ES7" i="4"/>
  <c r="EF7" i="4"/>
  <c r="DR7" i="4"/>
  <c r="DE7" i="4"/>
  <c r="CR7" i="4"/>
  <c r="CD7" i="4"/>
  <c r="BQ7" i="4"/>
  <c r="BD7" i="4"/>
  <c r="AP7" i="4"/>
  <c r="AC7" i="4"/>
  <c r="P7" i="4"/>
  <c r="GT6" i="4"/>
  <c r="GG6" i="4"/>
  <c r="FT6" i="4"/>
  <c r="FF6" i="4"/>
  <c r="ES6" i="4"/>
  <c r="EF6" i="4"/>
  <c r="DR6" i="4"/>
  <c r="DE6" i="4"/>
  <c r="CR6" i="4"/>
  <c r="CD6" i="4"/>
  <c r="BQ6" i="4"/>
  <c r="BD6" i="4"/>
  <c r="AP6" i="4"/>
  <c r="AC6" i="4"/>
  <c r="OK40" i="2"/>
  <c r="OK42" i="2" s="1"/>
  <c r="OK47" i="2" s="1"/>
  <c r="OJ40" i="2"/>
  <c r="OJ42" i="2" s="1"/>
  <c r="OJ47" i="2" s="1"/>
  <c r="OI40" i="2"/>
  <c r="OI42" i="2" s="1"/>
  <c r="OI47" i="2" s="1"/>
  <c r="OH40" i="2"/>
  <c r="OH42" i="2" s="1"/>
  <c r="OH47" i="2" s="1"/>
  <c r="OG40" i="2"/>
  <c r="OG42" i="2" s="1"/>
  <c r="OG47" i="2" s="1"/>
  <c r="OF40" i="2"/>
  <c r="OF42" i="2" s="1"/>
  <c r="OF47" i="2" s="1"/>
  <c r="OE40" i="2"/>
  <c r="OE42" i="2" s="1"/>
  <c r="OE47" i="2" s="1"/>
  <c r="OD40" i="2"/>
  <c r="OD42" i="2" s="1"/>
  <c r="OD47" i="2" s="1"/>
  <c r="OC40" i="2"/>
  <c r="OC42" i="2" s="1"/>
  <c r="OC47" i="2" s="1"/>
  <c r="OB40" i="2"/>
  <c r="OB42" i="2" s="1"/>
  <c r="OB47" i="2" s="1"/>
  <c r="OA40" i="2"/>
  <c r="OA42" i="2" s="1"/>
  <c r="OA47" i="2" s="1"/>
  <c r="NZ40" i="2"/>
  <c r="NZ42" i="2" s="1"/>
  <c r="NX40" i="2"/>
  <c r="NX42" i="2" s="1"/>
  <c r="NX47" i="2" s="1"/>
  <c r="NW40" i="2"/>
  <c r="NW42" i="2" s="1"/>
  <c r="NW47" i="2" s="1"/>
  <c r="NV40" i="2"/>
  <c r="NV42" i="2" s="1"/>
  <c r="NV47" i="2" s="1"/>
  <c r="NU40" i="2"/>
  <c r="NU42" i="2" s="1"/>
  <c r="NU47" i="2" s="1"/>
  <c r="NT40" i="2"/>
  <c r="NT42" i="2" s="1"/>
  <c r="NT47" i="2" s="1"/>
  <c r="NS40" i="2"/>
  <c r="NS42" i="2" s="1"/>
  <c r="NS47" i="2" s="1"/>
  <c r="NR40" i="2"/>
  <c r="NR42" i="2" s="1"/>
  <c r="NR47" i="2" s="1"/>
  <c r="NQ40" i="2"/>
  <c r="NQ42" i="2" s="1"/>
  <c r="NQ47" i="2" s="1"/>
  <c r="NP40" i="2"/>
  <c r="NP42" i="2" s="1"/>
  <c r="NP47" i="2" s="1"/>
  <c r="NO40" i="2"/>
  <c r="NO42" i="2" s="1"/>
  <c r="NO47" i="2" s="1"/>
  <c r="NN40" i="2"/>
  <c r="NN42" i="2" s="1"/>
  <c r="NN47" i="2" s="1"/>
  <c r="NM40" i="2"/>
  <c r="NM42" i="2" s="1"/>
  <c r="NK40" i="2"/>
  <c r="NK42" i="2" s="1"/>
  <c r="NK47" i="2" s="1"/>
  <c r="NJ40" i="2"/>
  <c r="NJ42" i="2" s="1"/>
  <c r="NJ47" i="2" s="1"/>
  <c r="NI40" i="2"/>
  <c r="NI42" i="2" s="1"/>
  <c r="NI47" i="2" s="1"/>
  <c r="NH40" i="2"/>
  <c r="NH42" i="2" s="1"/>
  <c r="NH47" i="2" s="1"/>
  <c r="NG40" i="2"/>
  <c r="NG42" i="2" s="1"/>
  <c r="NG47" i="2" s="1"/>
  <c r="NF40" i="2"/>
  <c r="NF42" i="2" s="1"/>
  <c r="NF47" i="2" s="1"/>
  <c r="NE40" i="2"/>
  <c r="NE42" i="2" s="1"/>
  <c r="NE47" i="2" s="1"/>
  <c r="ND40" i="2"/>
  <c r="ND42" i="2" s="1"/>
  <c r="ND47" i="2" s="1"/>
  <c r="NC40" i="2"/>
  <c r="NC42" i="2" s="1"/>
  <c r="NC47" i="2" s="1"/>
  <c r="NB40" i="2"/>
  <c r="NB42" i="2" s="1"/>
  <c r="NB47" i="2" s="1"/>
  <c r="NA40" i="2"/>
  <c r="NA42" i="2" s="1"/>
  <c r="NA47" i="2" s="1"/>
  <c r="MZ40" i="2"/>
  <c r="MZ42" i="2" s="1"/>
  <c r="OL39" i="2"/>
  <c r="NY39" i="2"/>
  <c r="NL39" i="2"/>
  <c r="OL38" i="2"/>
  <c r="NY38" i="2"/>
  <c r="NL38" i="2"/>
  <c r="OL37" i="2"/>
  <c r="NY37" i="2"/>
  <c r="NL37" i="2"/>
  <c r="OL36" i="2"/>
  <c r="NY36" i="2"/>
  <c r="NL36" i="2"/>
  <c r="OL35" i="2"/>
  <c r="NY35" i="2"/>
  <c r="NL35" i="2"/>
  <c r="OL34" i="2"/>
  <c r="NY34" i="2"/>
  <c r="NL34" i="2"/>
  <c r="OL33" i="2"/>
  <c r="NY33" i="2"/>
  <c r="NL33" i="2"/>
  <c r="OL32" i="2"/>
  <c r="NY32" i="2"/>
  <c r="NL32" i="2"/>
  <c r="OL31" i="2"/>
  <c r="NY31" i="2"/>
  <c r="NL31" i="2"/>
  <c r="OL30" i="2"/>
  <c r="NY30" i="2"/>
  <c r="OL29" i="2"/>
  <c r="NY29" i="2"/>
  <c r="NL29" i="2"/>
  <c r="OL28" i="2"/>
  <c r="NY28" i="2"/>
  <c r="NL28" i="2"/>
  <c r="OL27" i="2"/>
  <c r="NY27" i="2"/>
  <c r="NL27" i="2"/>
  <c r="OL26" i="2"/>
  <c r="NY26" i="2"/>
  <c r="NL26" i="2"/>
  <c r="OL25" i="2"/>
  <c r="NY25" i="2"/>
  <c r="NL25" i="2"/>
  <c r="OL24" i="2"/>
  <c r="NY24" i="2"/>
  <c r="NL24" i="2"/>
  <c r="OL23" i="2"/>
  <c r="NY23" i="2"/>
  <c r="NL23" i="2"/>
  <c r="OL22" i="2"/>
  <c r="NY22" i="2"/>
  <c r="NL22" i="2"/>
  <c r="OL21" i="2"/>
  <c r="NY21" i="2"/>
  <c r="NL21" i="2"/>
  <c r="OL20" i="2"/>
  <c r="NY20" i="2"/>
  <c r="NL20" i="2"/>
  <c r="OL19" i="2"/>
  <c r="NY19" i="2"/>
  <c r="NL19" i="2"/>
  <c r="OL18" i="2"/>
  <c r="NY18" i="2"/>
  <c r="NL18" i="2"/>
  <c r="OL17" i="2"/>
  <c r="NY17" i="2"/>
  <c r="NL17" i="2"/>
  <c r="OL16" i="2"/>
  <c r="NY16" i="2"/>
  <c r="NL16" i="2"/>
  <c r="OL15" i="2"/>
  <c r="NY15" i="2"/>
  <c r="NL15" i="2"/>
  <c r="OL14" i="2"/>
  <c r="NY14" i="2"/>
  <c r="NL14" i="2"/>
  <c r="OL13" i="2"/>
  <c r="NY13" i="2"/>
  <c r="NL13" i="2"/>
  <c r="OL12" i="2"/>
  <c r="NY12" i="2"/>
  <c r="NL12" i="2"/>
  <c r="OL11" i="2"/>
  <c r="NY11" i="2"/>
  <c r="NL11" i="2"/>
  <c r="OL10" i="2"/>
  <c r="NY10" i="2"/>
  <c r="NL10" i="2"/>
  <c r="OL9" i="2"/>
  <c r="NY9" i="2"/>
  <c r="NL9" i="2"/>
  <c r="OL8" i="2"/>
  <c r="NY8" i="2"/>
  <c r="NL8" i="2"/>
  <c r="OL7" i="2"/>
  <c r="NY7" i="2"/>
  <c r="NL7" i="2"/>
  <c r="OL6" i="2"/>
  <c r="NY6" i="2"/>
  <c r="NL6" i="2"/>
  <c r="MW40" i="2"/>
  <c r="MW42" i="2" s="1"/>
  <c r="MW47" i="2" s="1"/>
  <c r="MV40" i="2"/>
  <c r="MV42" i="2" s="1"/>
  <c r="MV47" i="2" s="1"/>
  <c r="MU40" i="2"/>
  <c r="MU42" i="2" s="1"/>
  <c r="MU47" i="2" s="1"/>
  <c r="MT40" i="2"/>
  <c r="MT42" i="2" s="1"/>
  <c r="MT47" i="2" s="1"/>
  <c r="MS40" i="2"/>
  <c r="MS42" i="2" s="1"/>
  <c r="MS47" i="2" s="1"/>
  <c r="MR40" i="2"/>
  <c r="MR42" i="2" s="1"/>
  <c r="MR47" i="2" s="1"/>
  <c r="MQ40" i="2"/>
  <c r="MQ42" i="2" s="1"/>
  <c r="MQ47" i="2" s="1"/>
  <c r="MP40" i="2"/>
  <c r="MP42" i="2" s="1"/>
  <c r="MP47" i="2" s="1"/>
  <c r="MO40" i="2"/>
  <c r="MO42" i="2" s="1"/>
  <c r="MO47" i="2" s="1"/>
  <c r="MN40" i="2"/>
  <c r="MN42" i="2" s="1"/>
  <c r="MN47" i="2" s="1"/>
  <c r="MM40" i="2"/>
  <c r="MM42" i="2" s="1"/>
  <c r="MM47" i="2" s="1"/>
  <c r="ML40" i="2"/>
  <c r="ML42" i="2" s="1"/>
  <c r="MJ40" i="2"/>
  <c r="MJ42" i="2" s="1"/>
  <c r="MJ47" i="2" s="1"/>
  <c r="MI40" i="2"/>
  <c r="MI42" i="2" s="1"/>
  <c r="MI47" i="2" s="1"/>
  <c r="MH40" i="2"/>
  <c r="MH42" i="2" s="1"/>
  <c r="MH47" i="2" s="1"/>
  <c r="MG40" i="2"/>
  <c r="MG42" i="2" s="1"/>
  <c r="MG47" i="2" s="1"/>
  <c r="MF40" i="2"/>
  <c r="MF42" i="2" s="1"/>
  <c r="MF47" i="2" s="1"/>
  <c r="ME40" i="2"/>
  <c r="ME42" i="2" s="1"/>
  <c r="ME47" i="2" s="1"/>
  <c r="MD40" i="2"/>
  <c r="MD42" i="2" s="1"/>
  <c r="MD47" i="2" s="1"/>
  <c r="MC40" i="2"/>
  <c r="MC42" i="2" s="1"/>
  <c r="MC47" i="2" s="1"/>
  <c r="MB40" i="2"/>
  <c r="MB42" i="2" s="1"/>
  <c r="MB47" i="2" s="1"/>
  <c r="MA40" i="2"/>
  <c r="MA42" i="2" s="1"/>
  <c r="MA47" i="2" s="1"/>
  <c r="LZ40" i="2"/>
  <c r="LZ42" i="2" s="1"/>
  <c r="LZ47" i="2" s="1"/>
  <c r="LY40" i="2"/>
  <c r="LY42" i="2" s="1"/>
  <c r="LW40" i="2"/>
  <c r="LW42" i="2" s="1"/>
  <c r="LW47" i="2" s="1"/>
  <c r="LV40" i="2"/>
  <c r="LV42" i="2" s="1"/>
  <c r="LV47" i="2" s="1"/>
  <c r="LU40" i="2"/>
  <c r="LU42" i="2" s="1"/>
  <c r="LU47" i="2" s="1"/>
  <c r="LT40" i="2"/>
  <c r="LT42" i="2" s="1"/>
  <c r="LT47" i="2" s="1"/>
  <c r="LS40" i="2"/>
  <c r="LS42" i="2" s="1"/>
  <c r="LS47" i="2" s="1"/>
  <c r="LR40" i="2"/>
  <c r="LR42" i="2" s="1"/>
  <c r="LR47" i="2" s="1"/>
  <c r="LQ40" i="2"/>
  <c r="LQ42" i="2" s="1"/>
  <c r="LQ47" i="2" s="1"/>
  <c r="LP40" i="2"/>
  <c r="LP42" i="2" s="1"/>
  <c r="LP47" i="2" s="1"/>
  <c r="LO40" i="2"/>
  <c r="LO42" i="2" s="1"/>
  <c r="LO47" i="2" s="1"/>
  <c r="LN40" i="2"/>
  <c r="LN42" i="2" s="1"/>
  <c r="LN47" i="2" s="1"/>
  <c r="LM40" i="2"/>
  <c r="LM42" i="2" s="1"/>
  <c r="LM47" i="2" s="1"/>
  <c r="LL40" i="2"/>
  <c r="LL42" i="2" s="1"/>
  <c r="MX39" i="2"/>
  <c r="MK39" i="2"/>
  <c r="LX39" i="2"/>
  <c r="MY39" i="2" s="1"/>
  <c r="MX38" i="2"/>
  <c r="MK38" i="2"/>
  <c r="LX38" i="2"/>
  <c r="MX37" i="2"/>
  <c r="MK37" i="2"/>
  <c r="LX37" i="2"/>
  <c r="MY37" i="2" s="1"/>
  <c r="MX36" i="2"/>
  <c r="MK36" i="2"/>
  <c r="LX36" i="2"/>
  <c r="MX35" i="2"/>
  <c r="MK35" i="2"/>
  <c r="LX35" i="2"/>
  <c r="MY35" i="2" s="1"/>
  <c r="MX34" i="2"/>
  <c r="MK34" i="2"/>
  <c r="LX34" i="2"/>
  <c r="MX33" i="2"/>
  <c r="MK33" i="2"/>
  <c r="LX33" i="2"/>
  <c r="MY33" i="2" s="1"/>
  <c r="MX32" i="2"/>
  <c r="MK32" i="2"/>
  <c r="LX32" i="2"/>
  <c r="MX31" i="2"/>
  <c r="MK31" i="2"/>
  <c r="LX31" i="2"/>
  <c r="MY31" i="2" s="1"/>
  <c r="MX30" i="2"/>
  <c r="MK30" i="2"/>
  <c r="LX30" i="2"/>
  <c r="MX29" i="2"/>
  <c r="MK29" i="2"/>
  <c r="LX29" i="2"/>
  <c r="MY29" i="2" s="1"/>
  <c r="MX28" i="2"/>
  <c r="MK28" i="2"/>
  <c r="LX28" i="2"/>
  <c r="MX27" i="2"/>
  <c r="MK27" i="2"/>
  <c r="LX27" i="2"/>
  <c r="MY27" i="2" s="1"/>
  <c r="MX26" i="2"/>
  <c r="MK26" i="2"/>
  <c r="LX26" i="2"/>
  <c r="MX25" i="2"/>
  <c r="MK25" i="2"/>
  <c r="LX25" i="2"/>
  <c r="MY25" i="2" s="1"/>
  <c r="MX24" i="2"/>
  <c r="MK24" i="2"/>
  <c r="LX24" i="2"/>
  <c r="MX23" i="2"/>
  <c r="MK23" i="2"/>
  <c r="LX23" i="2"/>
  <c r="MY23" i="2" s="1"/>
  <c r="MX22" i="2"/>
  <c r="MK22" i="2"/>
  <c r="LX22" i="2"/>
  <c r="MX21" i="2"/>
  <c r="MK21" i="2"/>
  <c r="LX21" i="2"/>
  <c r="MY21" i="2" s="1"/>
  <c r="MX20" i="2"/>
  <c r="MK20" i="2"/>
  <c r="LX20" i="2"/>
  <c r="MX19" i="2"/>
  <c r="MK19" i="2"/>
  <c r="LX19" i="2"/>
  <c r="MY19" i="2" s="1"/>
  <c r="MX18" i="2"/>
  <c r="MK18" i="2"/>
  <c r="LX18" i="2"/>
  <c r="MX17" i="2"/>
  <c r="MK17" i="2"/>
  <c r="LX17" i="2"/>
  <c r="MY17" i="2" s="1"/>
  <c r="MX16" i="2"/>
  <c r="MK16" i="2"/>
  <c r="LX16" i="2"/>
  <c r="MX15" i="2"/>
  <c r="MK15" i="2"/>
  <c r="LX15" i="2"/>
  <c r="MX14" i="2"/>
  <c r="MK14" i="2"/>
  <c r="LX14" i="2"/>
  <c r="MX13" i="2"/>
  <c r="MK13" i="2"/>
  <c r="LX13" i="2"/>
  <c r="MY13" i="2" s="1"/>
  <c r="MX12" i="2"/>
  <c r="MK12" i="2"/>
  <c r="LX12" i="2"/>
  <c r="MX11" i="2"/>
  <c r="MK11" i="2"/>
  <c r="LX11" i="2"/>
  <c r="MY11" i="2" s="1"/>
  <c r="MX10" i="2"/>
  <c r="MK10" i="2"/>
  <c r="LX10" i="2"/>
  <c r="MX9" i="2"/>
  <c r="MK9" i="2"/>
  <c r="LX9" i="2"/>
  <c r="MY9" i="2" s="1"/>
  <c r="MX8" i="2"/>
  <c r="MK8" i="2"/>
  <c r="LX8" i="2"/>
  <c r="MX7" i="2"/>
  <c r="MK7" i="2"/>
  <c r="LX7" i="2"/>
  <c r="MY7" i="2" s="1"/>
  <c r="MX6" i="2"/>
  <c r="MK6" i="2"/>
  <c r="LX6" i="2"/>
  <c r="LI40" i="2"/>
  <c r="LI42" i="2" s="1"/>
  <c r="LI47" i="2" s="1"/>
  <c r="LH40" i="2"/>
  <c r="LH42" i="2" s="1"/>
  <c r="LH47" i="2" s="1"/>
  <c r="LG40" i="2"/>
  <c r="LG42" i="2" s="1"/>
  <c r="LG47" i="2" s="1"/>
  <c r="LF40" i="2"/>
  <c r="LF42" i="2" s="1"/>
  <c r="LF47" i="2" s="1"/>
  <c r="LE40" i="2"/>
  <c r="LE42" i="2" s="1"/>
  <c r="LE47" i="2" s="1"/>
  <c r="LD40" i="2"/>
  <c r="LD42" i="2" s="1"/>
  <c r="LD47" i="2" s="1"/>
  <c r="LC40" i="2"/>
  <c r="LC42" i="2" s="1"/>
  <c r="LC47" i="2" s="1"/>
  <c r="LB40" i="2"/>
  <c r="LB42" i="2" s="1"/>
  <c r="LB47" i="2" s="1"/>
  <c r="LA40" i="2"/>
  <c r="LA42" i="2" s="1"/>
  <c r="LA47" i="2" s="1"/>
  <c r="KZ40" i="2"/>
  <c r="KZ42" i="2" s="1"/>
  <c r="KZ47" i="2" s="1"/>
  <c r="KY40" i="2"/>
  <c r="KY42" i="2" s="1"/>
  <c r="KY47" i="2" s="1"/>
  <c r="KX40" i="2"/>
  <c r="KX42" i="2" s="1"/>
  <c r="KV40" i="2"/>
  <c r="KV42" i="2" s="1"/>
  <c r="KV47" i="2" s="1"/>
  <c r="KU40" i="2"/>
  <c r="KU42" i="2" s="1"/>
  <c r="KU47" i="2" s="1"/>
  <c r="KT40" i="2"/>
  <c r="KT42" i="2" s="1"/>
  <c r="KT47" i="2" s="1"/>
  <c r="KS40" i="2"/>
  <c r="KS42" i="2" s="1"/>
  <c r="KS47" i="2" s="1"/>
  <c r="KR40" i="2"/>
  <c r="KR42" i="2" s="1"/>
  <c r="KR47" i="2" s="1"/>
  <c r="KQ40" i="2"/>
  <c r="KQ42" i="2" s="1"/>
  <c r="KQ47" i="2" s="1"/>
  <c r="KP40" i="2"/>
  <c r="KP42" i="2" s="1"/>
  <c r="KP47" i="2" s="1"/>
  <c r="KO40" i="2"/>
  <c r="KO42" i="2" s="1"/>
  <c r="KO47" i="2" s="1"/>
  <c r="KN40" i="2"/>
  <c r="KN42" i="2" s="1"/>
  <c r="KN47" i="2" s="1"/>
  <c r="KM40" i="2"/>
  <c r="KM42" i="2" s="1"/>
  <c r="KM47" i="2" s="1"/>
  <c r="KL40" i="2"/>
  <c r="KL42" i="2" s="1"/>
  <c r="KL47" i="2" s="1"/>
  <c r="KK40" i="2"/>
  <c r="KK42" i="2" s="1"/>
  <c r="KI40" i="2"/>
  <c r="KI42" i="2" s="1"/>
  <c r="KI47" i="2" s="1"/>
  <c r="KH40" i="2"/>
  <c r="KH42" i="2" s="1"/>
  <c r="KH47" i="2" s="1"/>
  <c r="KG40" i="2"/>
  <c r="KG42" i="2" s="1"/>
  <c r="KG47" i="2" s="1"/>
  <c r="KF40" i="2"/>
  <c r="KF42" i="2" s="1"/>
  <c r="KF47" i="2" s="1"/>
  <c r="KE40" i="2"/>
  <c r="KE42" i="2" s="1"/>
  <c r="KE47" i="2" s="1"/>
  <c r="KD40" i="2"/>
  <c r="KD42" i="2" s="1"/>
  <c r="KD47" i="2" s="1"/>
  <c r="KC40" i="2"/>
  <c r="KC42" i="2" s="1"/>
  <c r="KC47" i="2" s="1"/>
  <c r="KB40" i="2"/>
  <c r="KB42" i="2" s="1"/>
  <c r="KB47" i="2" s="1"/>
  <c r="KA40" i="2"/>
  <c r="KA42" i="2" s="1"/>
  <c r="KA47" i="2" s="1"/>
  <c r="JZ40" i="2"/>
  <c r="JZ42" i="2" s="1"/>
  <c r="JZ47" i="2" s="1"/>
  <c r="JY40" i="2"/>
  <c r="JY42" i="2" s="1"/>
  <c r="JY47" i="2" s="1"/>
  <c r="JX40" i="2"/>
  <c r="JX42" i="2" s="1"/>
  <c r="LJ39" i="2"/>
  <c r="KW39" i="2"/>
  <c r="KJ39" i="2"/>
  <c r="LK39" i="2" s="1"/>
  <c r="LJ38" i="2"/>
  <c r="KW38" i="2"/>
  <c r="KJ38" i="2"/>
  <c r="LJ37" i="2"/>
  <c r="KW37" i="2"/>
  <c r="KJ37" i="2"/>
  <c r="LK37" i="2" s="1"/>
  <c r="LJ36" i="2"/>
  <c r="KW36" i="2"/>
  <c r="KJ36" i="2"/>
  <c r="LJ35" i="2"/>
  <c r="KW35" i="2"/>
  <c r="KJ35" i="2"/>
  <c r="LK35" i="2" s="1"/>
  <c r="LJ34" i="2"/>
  <c r="KW34" i="2"/>
  <c r="KJ34" i="2"/>
  <c r="LJ33" i="2"/>
  <c r="KW33" i="2"/>
  <c r="KJ33" i="2"/>
  <c r="LK33" i="2" s="1"/>
  <c r="LJ32" i="2"/>
  <c r="KW32" i="2"/>
  <c r="KJ32" i="2"/>
  <c r="LJ31" i="2"/>
  <c r="KW31" i="2"/>
  <c r="KJ31" i="2"/>
  <c r="LK31" i="2" s="1"/>
  <c r="LJ30" i="2"/>
  <c r="KW30" i="2"/>
  <c r="KJ30" i="2"/>
  <c r="LJ29" i="2"/>
  <c r="KW29" i="2"/>
  <c r="KJ29" i="2"/>
  <c r="LK29" i="2" s="1"/>
  <c r="LJ28" i="2"/>
  <c r="KW28" i="2"/>
  <c r="KJ28" i="2"/>
  <c r="LJ27" i="2"/>
  <c r="KW27" i="2"/>
  <c r="KJ27" i="2"/>
  <c r="LK27" i="2" s="1"/>
  <c r="LJ26" i="2"/>
  <c r="KW26" i="2"/>
  <c r="KJ26" i="2"/>
  <c r="LJ25" i="2"/>
  <c r="KW25" i="2"/>
  <c r="KJ25" i="2"/>
  <c r="LK25" i="2" s="1"/>
  <c r="LJ24" i="2"/>
  <c r="KW24" i="2"/>
  <c r="KJ24" i="2"/>
  <c r="LJ23" i="2"/>
  <c r="KW23" i="2"/>
  <c r="KJ23" i="2"/>
  <c r="LK23" i="2" s="1"/>
  <c r="LJ22" i="2"/>
  <c r="KW22" i="2"/>
  <c r="KJ22" i="2"/>
  <c r="LJ21" i="2"/>
  <c r="KW21" i="2"/>
  <c r="KJ21" i="2"/>
  <c r="LK21" i="2" s="1"/>
  <c r="LJ20" i="2"/>
  <c r="KW20" i="2"/>
  <c r="KJ20" i="2"/>
  <c r="LJ19" i="2"/>
  <c r="KW19" i="2"/>
  <c r="KJ19" i="2"/>
  <c r="LK19" i="2" s="1"/>
  <c r="LJ18" i="2"/>
  <c r="KW18" i="2"/>
  <c r="KJ18" i="2"/>
  <c r="LJ17" i="2"/>
  <c r="KW17" i="2"/>
  <c r="KJ17" i="2"/>
  <c r="LK17" i="2" s="1"/>
  <c r="LJ16" i="2"/>
  <c r="KW16" i="2"/>
  <c r="KJ16" i="2"/>
  <c r="LJ15" i="2"/>
  <c r="KW15" i="2"/>
  <c r="KJ15" i="2"/>
  <c r="LJ14" i="2"/>
  <c r="KW14" i="2"/>
  <c r="KJ14" i="2"/>
  <c r="LJ13" i="2"/>
  <c r="KW13" i="2"/>
  <c r="KJ13" i="2"/>
  <c r="LK13" i="2" s="1"/>
  <c r="LJ12" i="2"/>
  <c r="KW12" i="2"/>
  <c r="KJ12" i="2"/>
  <c r="LJ11" i="2"/>
  <c r="KW11" i="2"/>
  <c r="KJ11" i="2"/>
  <c r="LK11" i="2" s="1"/>
  <c r="LJ10" i="2"/>
  <c r="KW10" i="2"/>
  <c r="KJ10" i="2"/>
  <c r="LJ9" i="2"/>
  <c r="KW9" i="2"/>
  <c r="KJ9" i="2"/>
  <c r="LK9" i="2" s="1"/>
  <c r="LJ8" i="2"/>
  <c r="KW8" i="2"/>
  <c r="KJ8" i="2"/>
  <c r="LJ7" i="2"/>
  <c r="KW7" i="2"/>
  <c r="KJ7" i="2"/>
  <c r="LK7" i="2" s="1"/>
  <c r="LJ6" i="2"/>
  <c r="KW6" i="2"/>
  <c r="KJ6" i="2"/>
  <c r="JU40" i="2"/>
  <c r="JU42" i="2" s="1"/>
  <c r="JU47" i="2" s="1"/>
  <c r="JT40" i="2"/>
  <c r="JT42" i="2" s="1"/>
  <c r="JT47" i="2" s="1"/>
  <c r="JS40" i="2"/>
  <c r="JS42" i="2" s="1"/>
  <c r="JS47" i="2" s="1"/>
  <c r="JR40" i="2"/>
  <c r="JR42" i="2" s="1"/>
  <c r="JR47" i="2" s="1"/>
  <c r="JQ40" i="2"/>
  <c r="JQ42" i="2" s="1"/>
  <c r="JQ47" i="2" s="1"/>
  <c r="JP40" i="2"/>
  <c r="JP42" i="2" s="1"/>
  <c r="JP47" i="2" s="1"/>
  <c r="JO40" i="2"/>
  <c r="JO42" i="2" s="1"/>
  <c r="JO47" i="2" s="1"/>
  <c r="JN40" i="2"/>
  <c r="JN42" i="2" s="1"/>
  <c r="JN47" i="2" s="1"/>
  <c r="JM40" i="2"/>
  <c r="JM42" i="2" s="1"/>
  <c r="JM47" i="2" s="1"/>
  <c r="JL40" i="2"/>
  <c r="JL42" i="2" s="1"/>
  <c r="JL47" i="2" s="1"/>
  <c r="JK40" i="2"/>
  <c r="JK42" i="2" s="1"/>
  <c r="JK47" i="2" s="1"/>
  <c r="JJ40" i="2"/>
  <c r="JJ42" i="2" s="1"/>
  <c r="JH40" i="2"/>
  <c r="JH42" i="2" s="1"/>
  <c r="JH47" i="2" s="1"/>
  <c r="JG40" i="2"/>
  <c r="JG42" i="2" s="1"/>
  <c r="JG47" i="2" s="1"/>
  <c r="JF40" i="2"/>
  <c r="JF42" i="2" s="1"/>
  <c r="JF47" i="2" s="1"/>
  <c r="JE40" i="2"/>
  <c r="JE42" i="2" s="1"/>
  <c r="JE47" i="2" s="1"/>
  <c r="JD40" i="2"/>
  <c r="JD42" i="2" s="1"/>
  <c r="JD47" i="2" s="1"/>
  <c r="JC40" i="2"/>
  <c r="JC42" i="2" s="1"/>
  <c r="JC47" i="2" s="1"/>
  <c r="JB40" i="2"/>
  <c r="JB42" i="2" s="1"/>
  <c r="JB47" i="2" s="1"/>
  <c r="JA40" i="2"/>
  <c r="JA42" i="2" s="1"/>
  <c r="JA47" i="2" s="1"/>
  <c r="IZ40" i="2"/>
  <c r="IZ42" i="2" s="1"/>
  <c r="IZ47" i="2" s="1"/>
  <c r="IY40" i="2"/>
  <c r="IY42" i="2" s="1"/>
  <c r="IY47" i="2" s="1"/>
  <c r="IX40" i="2"/>
  <c r="IX42" i="2" s="1"/>
  <c r="IX47" i="2" s="1"/>
  <c r="IW40" i="2"/>
  <c r="IW42" i="2" s="1"/>
  <c r="IU40" i="2"/>
  <c r="IU42" i="2" s="1"/>
  <c r="IU47" i="2" s="1"/>
  <c r="IT40" i="2"/>
  <c r="IT42" i="2" s="1"/>
  <c r="IT47" i="2" s="1"/>
  <c r="IS40" i="2"/>
  <c r="IS42" i="2" s="1"/>
  <c r="IS47" i="2" s="1"/>
  <c r="IR40" i="2"/>
  <c r="IR42" i="2" s="1"/>
  <c r="IR47" i="2" s="1"/>
  <c r="IQ40" i="2"/>
  <c r="IQ42" i="2" s="1"/>
  <c r="IQ47" i="2" s="1"/>
  <c r="IP40" i="2"/>
  <c r="IP42" i="2" s="1"/>
  <c r="IP47" i="2" s="1"/>
  <c r="IO40" i="2"/>
  <c r="IO42" i="2" s="1"/>
  <c r="IO47" i="2" s="1"/>
  <c r="IN40" i="2"/>
  <c r="IN42" i="2" s="1"/>
  <c r="IN47" i="2" s="1"/>
  <c r="IM40" i="2"/>
  <c r="IM42" i="2" s="1"/>
  <c r="IM47" i="2" s="1"/>
  <c r="IL40" i="2"/>
  <c r="IL42" i="2" s="1"/>
  <c r="IL47" i="2" s="1"/>
  <c r="IK40" i="2"/>
  <c r="IK42" i="2" s="1"/>
  <c r="IK47" i="2" s="1"/>
  <c r="IJ40" i="2"/>
  <c r="IJ42" i="2" s="1"/>
  <c r="JV39" i="2"/>
  <c r="JI39" i="2"/>
  <c r="IV39" i="2"/>
  <c r="JW39" i="2" s="1"/>
  <c r="JV38" i="2"/>
  <c r="JI38" i="2"/>
  <c r="IV38" i="2"/>
  <c r="JV37" i="2"/>
  <c r="JI37" i="2"/>
  <c r="IV37" i="2"/>
  <c r="JW37" i="2" s="1"/>
  <c r="JV36" i="2"/>
  <c r="JI36" i="2"/>
  <c r="IV36" i="2"/>
  <c r="JV35" i="2"/>
  <c r="JI35" i="2"/>
  <c r="IV35" i="2"/>
  <c r="JW35" i="2" s="1"/>
  <c r="JV34" i="2"/>
  <c r="JI34" i="2"/>
  <c r="IV34" i="2"/>
  <c r="JV33" i="2"/>
  <c r="JI33" i="2"/>
  <c r="IV33" i="2"/>
  <c r="JW33" i="2" s="1"/>
  <c r="JV32" i="2"/>
  <c r="JI32" i="2"/>
  <c r="IV32" i="2"/>
  <c r="JV31" i="2"/>
  <c r="JI31" i="2"/>
  <c r="IV31" i="2"/>
  <c r="JW31" i="2" s="1"/>
  <c r="JV30" i="2"/>
  <c r="JI30" i="2"/>
  <c r="IV30" i="2"/>
  <c r="JV29" i="2"/>
  <c r="JI29" i="2"/>
  <c r="IV29" i="2"/>
  <c r="JW29" i="2" s="1"/>
  <c r="JV28" i="2"/>
  <c r="JI28" i="2"/>
  <c r="IV28" i="2"/>
  <c r="JV27" i="2"/>
  <c r="JI27" i="2"/>
  <c r="IV27" i="2"/>
  <c r="JW27" i="2" s="1"/>
  <c r="JV26" i="2"/>
  <c r="JI26" i="2"/>
  <c r="IV26" i="2"/>
  <c r="JV25" i="2"/>
  <c r="JI25" i="2"/>
  <c r="IV25" i="2"/>
  <c r="JW25" i="2" s="1"/>
  <c r="JV24" i="2"/>
  <c r="JI24" i="2"/>
  <c r="IV24" i="2"/>
  <c r="JV23" i="2"/>
  <c r="JI23" i="2"/>
  <c r="IV23" i="2"/>
  <c r="JW23" i="2" s="1"/>
  <c r="JV22" i="2"/>
  <c r="JI22" i="2"/>
  <c r="IV22" i="2"/>
  <c r="JV21" i="2"/>
  <c r="JI21" i="2"/>
  <c r="IV21" i="2"/>
  <c r="JW21" i="2" s="1"/>
  <c r="JV20" i="2"/>
  <c r="JI20" i="2"/>
  <c r="IV20" i="2"/>
  <c r="JV19" i="2"/>
  <c r="JI19" i="2"/>
  <c r="IV19" i="2"/>
  <c r="JW19" i="2" s="1"/>
  <c r="JV18" i="2"/>
  <c r="JI18" i="2"/>
  <c r="IV18" i="2"/>
  <c r="JV17" i="2"/>
  <c r="JI17" i="2"/>
  <c r="IV17" i="2"/>
  <c r="JW17" i="2" s="1"/>
  <c r="JV16" i="2"/>
  <c r="JI16" i="2"/>
  <c r="IV16" i="2"/>
  <c r="JV15" i="2"/>
  <c r="JI15" i="2"/>
  <c r="IV15" i="2"/>
  <c r="JV14" i="2"/>
  <c r="JI14" i="2"/>
  <c r="IV14" i="2"/>
  <c r="JV13" i="2"/>
  <c r="JI13" i="2"/>
  <c r="IV13" i="2"/>
  <c r="JW13" i="2" s="1"/>
  <c r="JV12" i="2"/>
  <c r="JI12" i="2"/>
  <c r="IV12" i="2"/>
  <c r="JV11" i="2"/>
  <c r="JI11" i="2"/>
  <c r="IV11" i="2"/>
  <c r="JW11" i="2" s="1"/>
  <c r="JV10" i="2"/>
  <c r="JI10" i="2"/>
  <c r="IV10" i="2"/>
  <c r="JV9" i="2"/>
  <c r="JI9" i="2"/>
  <c r="IV9" i="2"/>
  <c r="JW9" i="2" s="1"/>
  <c r="JV8" i="2"/>
  <c r="JI8" i="2"/>
  <c r="IV8" i="2"/>
  <c r="JV7" i="2"/>
  <c r="JI7" i="2"/>
  <c r="IV7" i="2"/>
  <c r="JW7" i="2" s="1"/>
  <c r="JV6" i="2"/>
  <c r="JI6" i="2"/>
  <c r="IV6" i="2"/>
  <c r="IG40" i="2"/>
  <c r="IG42" i="2" s="1"/>
  <c r="IG47" i="2" s="1"/>
  <c r="IF40" i="2"/>
  <c r="IF42" i="2" s="1"/>
  <c r="IF47" i="2" s="1"/>
  <c r="IE40" i="2"/>
  <c r="IE42" i="2" s="1"/>
  <c r="IE47" i="2" s="1"/>
  <c r="ID40" i="2"/>
  <c r="ID42" i="2" s="1"/>
  <c r="ID47" i="2" s="1"/>
  <c r="IC40" i="2"/>
  <c r="IC42" i="2" s="1"/>
  <c r="IC47" i="2" s="1"/>
  <c r="IB40" i="2"/>
  <c r="IB42" i="2" s="1"/>
  <c r="IB47" i="2" s="1"/>
  <c r="IA40" i="2"/>
  <c r="IA42" i="2" s="1"/>
  <c r="IA47" i="2" s="1"/>
  <c r="HZ40" i="2"/>
  <c r="HZ42" i="2" s="1"/>
  <c r="HZ47" i="2" s="1"/>
  <c r="HY40" i="2"/>
  <c r="HY42" i="2" s="1"/>
  <c r="HY47" i="2" s="1"/>
  <c r="HX40" i="2"/>
  <c r="HX42" i="2" s="1"/>
  <c r="HX47" i="2" s="1"/>
  <c r="HW40" i="2"/>
  <c r="HW42" i="2" s="1"/>
  <c r="HW47" i="2" s="1"/>
  <c r="HV40" i="2"/>
  <c r="HV42" i="2" s="1"/>
  <c r="HT40" i="2"/>
  <c r="HT42" i="2" s="1"/>
  <c r="HT47" i="2" s="1"/>
  <c r="HS40" i="2"/>
  <c r="HS42" i="2" s="1"/>
  <c r="HS47" i="2" s="1"/>
  <c r="HR40" i="2"/>
  <c r="HR42" i="2" s="1"/>
  <c r="HR47" i="2" s="1"/>
  <c r="HQ40" i="2"/>
  <c r="HQ42" i="2" s="1"/>
  <c r="HQ47" i="2" s="1"/>
  <c r="HP40" i="2"/>
  <c r="HP42" i="2" s="1"/>
  <c r="HP47" i="2" s="1"/>
  <c r="HO40" i="2"/>
  <c r="HO42" i="2" s="1"/>
  <c r="HO47" i="2" s="1"/>
  <c r="HN40" i="2"/>
  <c r="HN42" i="2" s="1"/>
  <c r="HN47" i="2" s="1"/>
  <c r="HM40" i="2"/>
  <c r="HM42" i="2" s="1"/>
  <c r="HM47" i="2" s="1"/>
  <c r="HL40" i="2"/>
  <c r="HL42" i="2" s="1"/>
  <c r="HL47" i="2" s="1"/>
  <c r="HK40" i="2"/>
  <c r="HK42" i="2" s="1"/>
  <c r="HK47" i="2" s="1"/>
  <c r="HJ40" i="2"/>
  <c r="HJ42" i="2" s="1"/>
  <c r="HJ47" i="2" s="1"/>
  <c r="HI40" i="2"/>
  <c r="HI42" i="2" s="1"/>
  <c r="HG40" i="2"/>
  <c r="HG42" i="2" s="1"/>
  <c r="HG47" i="2" s="1"/>
  <c r="HF40" i="2"/>
  <c r="HF42" i="2" s="1"/>
  <c r="HF47" i="2" s="1"/>
  <c r="HE40" i="2"/>
  <c r="HE42" i="2" s="1"/>
  <c r="HE47" i="2" s="1"/>
  <c r="HD40" i="2"/>
  <c r="HD42" i="2" s="1"/>
  <c r="HD47" i="2" s="1"/>
  <c r="HC40" i="2"/>
  <c r="HC42" i="2" s="1"/>
  <c r="HC47" i="2" s="1"/>
  <c r="HB40" i="2"/>
  <c r="HB42" i="2" s="1"/>
  <c r="HB47" i="2" s="1"/>
  <c r="HA40" i="2"/>
  <c r="HA42" i="2" s="1"/>
  <c r="HA47" i="2" s="1"/>
  <c r="GZ40" i="2"/>
  <c r="GZ42" i="2" s="1"/>
  <c r="GZ47" i="2" s="1"/>
  <c r="GY40" i="2"/>
  <c r="GY42" i="2" s="1"/>
  <c r="GY47" i="2" s="1"/>
  <c r="GX40" i="2"/>
  <c r="GX42" i="2" s="1"/>
  <c r="GX47" i="2" s="1"/>
  <c r="GW40" i="2"/>
  <c r="GW42" i="2" s="1"/>
  <c r="GW47" i="2" s="1"/>
  <c r="GV40" i="2"/>
  <c r="GV42" i="2" s="1"/>
  <c r="IH39" i="2"/>
  <c r="HU39" i="2"/>
  <c r="HH39" i="2"/>
  <c r="II39" i="2" s="1"/>
  <c r="IH38" i="2"/>
  <c r="HU38" i="2"/>
  <c r="HH38" i="2"/>
  <c r="IH37" i="2"/>
  <c r="HU37" i="2"/>
  <c r="HH37" i="2"/>
  <c r="II37" i="2" s="1"/>
  <c r="IH36" i="2"/>
  <c r="HU36" i="2"/>
  <c r="HH36" i="2"/>
  <c r="IH35" i="2"/>
  <c r="HU35" i="2"/>
  <c r="HH35" i="2"/>
  <c r="II35" i="2" s="1"/>
  <c r="IH34" i="2"/>
  <c r="HU34" i="2"/>
  <c r="HH34" i="2"/>
  <c r="IH33" i="2"/>
  <c r="HU33" i="2"/>
  <c r="HH33" i="2"/>
  <c r="II33" i="2" s="1"/>
  <c r="IH32" i="2"/>
  <c r="HU32" i="2"/>
  <c r="HH32" i="2"/>
  <c r="IH31" i="2"/>
  <c r="HU31" i="2"/>
  <c r="HH31" i="2"/>
  <c r="II31" i="2" s="1"/>
  <c r="IH30" i="2"/>
  <c r="HU30" i="2"/>
  <c r="HH30" i="2"/>
  <c r="IH29" i="2"/>
  <c r="HU29" i="2"/>
  <c r="HH29" i="2"/>
  <c r="II29" i="2" s="1"/>
  <c r="IH28" i="2"/>
  <c r="HU28" i="2"/>
  <c r="HH28" i="2"/>
  <c r="IH27" i="2"/>
  <c r="HU27" i="2"/>
  <c r="HH27" i="2"/>
  <c r="II27" i="2" s="1"/>
  <c r="IH26" i="2"/>
  <c r="HU26" i="2"/>
  <c r="HH26" i="2"/>
  <c r="IH25" i="2"/>
  <c r="HU25" i="2"/>
  <c r="HH25" i="2"/>
  <c r="II25" i="2" s="1"/>
  <c r="IH24" i="2"/>
  <c r="HU24" i="2"/>
  <c r="HH24" i="2"/>
  <c r="IH23" i="2"/>
  <c r="HU23" i="2"/>
  <c r="HH23" i="2"/>
  <c r="II23" i="2" s="1"/>
  <c r="IH22" i="2"/>
  <c r="HU22" i="2"/>
  <c r="HH22" i="2"/>
  <c r="IH21" i="2"/>
  <c r="HU21" i="2"/>
  <c r="HH21" i="2"/>
  <c r="II21" i="2" s="1"/>
  <c r="IH20" i="2"/>
  <c r="HU20" i="2"/>
  <c r="HH20" i="2"/>
  <c r="IH19" i="2"/>
  <c r="HU19" i="2"/>
  <c r="HH19" i="2"/>
  <c r="II19" i="2" s="1"/>
  <c r="IH18" i="2"/>
  <c r="HU18" i="2"/>
  <c r="HH18" i="2"/>
  <c r="IH17" i="2"/>
  <c r="HU17" i="2"/>
  <c r="HH17" i="2"/>
  <c r="II17" i="2" s="1"/>
  <c r="IH16" i="2"/>
  <c r="HU16" i="2"/>
  <c r="HH16" i="2"/>
  <c r="IH15" i="2"/>
  <c r="HU15" i="2"/>
  <c r="HH15" i="2"/>
  <c r="IH14" i="2"/>
  <c r="HU14" i="2"/>
  <c r="HH14" i="2"/>
  <c r="IH13" i="2"/>
  <c r="HU13" i="2"/>
  <c r="HH13" i="2"/>
  <c r="II13" i="2" s="1"/>
  <c r="IH12" i="2"/>
  <c r="HU12" i="2"/>
  <c r="HH12" i="2"/>
  <c r="IH11" i="2"/>
  <c r="HU11" i="2"/>
  <c r="HH11" i="2"/>
  <c r="II11" i="2" s="1"/>
  <c r="IH10" i="2"/>
  <c r="HU10" i="2"/>
  <c r="HH10" i="2"/>
  <c r="IH9" i="2"/>
  <c r="HU9" i="2"/>
  <c r="HH9" i="2"/>
  <c r="II9" i="2" s="1"/>
  <c r="IH8" i="2"/>
  <c r="HU8" i="2"/>
  <c r="HH8" i="2"/>
  <c r="IH7" i="2"/>
  <c r="HU7" i="2"/>
  <c r="HH7" i="2"/>
  <c r="IH6" i="2"/>
  <c r="GS40" i="2"/>
  <c r="GS42" i="2" s="1"/>
  <c r="GS47" i="2" s="1"/>
  <c r="GR40" i="2"/>
  <c r="GR42" i="2" s="1"/>
  <c r="GR47" i="2" s="1"/>
  <c r="GQ40" i="2"/>
  <c r="GQ42" i="2" s="1"/>
  <c r="GQ47" i="2" s="1"/>
  <c r="GP40" i="2"/>
  <c r="GP42" i="2" s="1"/>
  <c r="GP47" i="2" s="1"/>
  <c r="GO40" i="2"/>
  <c r="GO42" i="2" s="1"/>
  <c r="GO47" i="2" s="1"/>
  <c r="GN40" i="2"/>
  <c r="GN42" i="2" s="1"/>
  <c r="GN47" i="2" s="1"/>
  <c r="GM40" i="2"/>
  <c r="GM42" i="2" s="1"/>
  <c r="GM47" i="2" s="1"/>
  <c r="GL40" i="2"/>
  <c r="GL42" i="2" s="1"/>
  <c r="GL47" i="2" s="1"/>
  <c r="GK40" i="2"/>
  <c r="GK42" i="2" s="1"/>
  <c r="GK47" i="2" s="1"/>
  <c r="GJ40" i="2"/>
  <c r="GJ42" i="2" s="1"/>
  <c r="GJ47" i="2" s="1"/>
  <c r="GI40" i="2"/>
  <c r="GI42" i="2" s="1"/>
  <c r="GI47" i="2" s="1"/>
  <c r="GH40" i="2"/>
  <c r="GH42" i="2" s="1"/>
  <c r="GF40" i="2"/>
  <c r="GF42" i="2" s="1"/>
  <c r="GF47" i="2" s="1"/>
  <c r="GE40" i="2"/>
  <c r="GE42" i="2" s="1"/>
  <c r="GE47" i="2" s="1"/>
  <c r="GD40" i="2"/>
  <c r="GD42" i="2" s="1"/>
  <c r="GD47" i="2" s="1"/>
  <c r="GC40" i="2"/>
  <c r="GC42" i="2" s="1"/>
  <c r="GC47" i="2" s="1"/>
  <c r="GB40" i="2"/>
  <c r="GB42" i="2" s="1"/>
  <c r="GB47" i="2" s="1"/>
  <c r="GA40" i="2"/>
  <c r="GA42" i="2" s="1"/>
  <c r="GA47" i="2" s="1"/>
  <c r="FZ40" i="2"/>
  <c r="FZ42" i="2" s="1"/>
  <c r="FZ47" i="2" s="1"/>
  <c r="FY40" i="2"/>
  <c r="FY42" i="2" s="1"/>
  <c r="FY47" i="2" s="1"/>
  <c r="FX40" i="2"/>
  <c r="FX42" i="2" s="1"/>
  <c r="FX47" i="2" s="1"/>
  <c r="FW40" i="2"/>
  <c r="FW42" i="2" s="1"/>
  <c r="FW47" i="2" s="1"/>
  <c r="FV40" i="2"/>
  <c r="FV42" i="2" s="1"/>
  <c r="FV47" i="2" s="1"/>
  <c r="FU40" i="2"/>
  <c r="FU42" i="2" s="1"/>
  <c r="FS40" i="2"/>
  <c r="FS42" i="2" s="1"/>
  <c r="FS47" i="2" s="1"/>
  <c r="FR40" i="2"/>
  <c r="FR42" i="2" s="1"/>
  <c r="FR47" i="2" s="1"/>
  <c r="FQ40" i="2"/>
  <c r="FQ42" i="2" s="1"/>
  <c r="FQ47" i="2" s="1"/>
  <c r="FP40" i="2"/>
  <c r="FP42" i="2" s="1"/>
  <c r="FP47" i="2" s="1"/>
  <c r="FO40" i="2"/>
  <c r="FO42" i="2" s="1"/>
  <c r="FO47" i="2" s="1"/>
  <c r="FN40" i="2"/>
  <c r="FN42" i="2" s="1"/>
  <c r="FN47" i="2" s="1"/>
  <c r="FM40" i="2"/>
  <c r="FM42" i="2" s="1"/>
  <c r="FM47" i="2" s="1"/>
  <c r="FL40" i="2"/>
  <c r="FL42" i="2" s="1"/>
  <c r="FL47" i="2" s="1"/>
  <c r="FK40" i="2"/>
  <c r="FK42" i="2" s="1"/>
  <c r="FK47" i="2" s="1"/>
  <c r="FJ40" i="2"/>
  <c r="FJ42" i="2" s="1"/>
  <c r="FJ47" i="2" s="1"/>
  <c r="FI40" i="2"/>
  <c r="FI42" i="2" s="1"/>
  <c r="FI47" i="2" s="1"/>
  <c r="FH40" i="2"/>
  <c r="FH42" i="2" s="1"/>
  <c r="GT39" i="2"/>
  <c r="GG39" i="2"/>
  <c r="FT39" i="2"/>
  <c r="GT38" i="2"/>
  <c r="GG38" i="2"/>
  <c r="FT38" i="2"/>
  <c r="GT37" i="2"/>
  <c r="GG37" i="2"/>
  <c r="FT37" i="2"/>
  <c r="GT36" i="2"/>
  <c r="GG36" i="2"/>
  <c r="FT36" i="2"/>
  <c r="GT35" i="2"/>
  <c r="GG35" i="2"/>
  <c r="FT35" i="2"/>
  <c r="GT34" i="2"/>
  <c r="GG34" i="2"/>
  <c r="FT34" i="2"/>
  <c r="GT33" i="2"/>
  <c r="GG33" i="2"/>
  <c r="FT33" i="2"/>
  <c r="GT32" i="2"/>
  <c r="GG32" i="2"/>
  <c r="FT32" i="2"/>
  <c r="GT31" i="2"/>
  <c r="GG31" i="2"/>
  <c r="FT31" i="2"/>
  <c r="GT30" i="2"/>
  <c r="GG30" i="2"/>
  <c r="FT30" i="2"/>
  <c r="GT29" i="2"/>
  <c r="GG29" i="2"/>
  <c r="FT29" i="2"/>
  <c r="GT28" i="2"/>
  <c r="GG28" i="2"/>
  <c r="FT28" i="2"/>
  <c r="GT27" i="2"/>
  <c r="GG27" i="2"/>
  <c r="FT27" i="2"/>
  <c r="GT26" i="2"/>
  <c r="GG26" i="2"/>
  <c r="FT26" i="2"/>
  <c r="GT25" i="2"/>
  <c r="GG25" i="2"/>
  <c r="FT25" i="2"/>
  <c r="GT24" i="2"/>
  <c r="GG24" i="2"/>
  <c r="FT24" i="2"/>
  <c r="GT23" i="2"/>
  <c r="GG23" i="2"/>
  <c r="FT23" i="2"/>
  <c r="GT22" i="2"/>
  <c r="GG22" i="2"/>
  <c r="FT22" i="2"/>
  <c r="GT21" i="2"/>
  <c r="GG21" i="2"/>
  <c r="FT21" i="2"/>
  <c r="GT20" i="2"/>
  <c r="GG20" i="2"/>
  <c r="FT20" i="2"/>
  <c r="GT19" i="2"/>
  <c r="GG19" i="2"/>
  <c r="FT19" i="2"/>
  <c r="GT18" i="2"/>
  <c r="GG18" i="2"/>
  <c r="FT18" i="2"/>
  <c r="GT17" i="2"/>
  <c r="GG17" i="2"/>
  <c r="FT17" i="2"/>
  <c r="GT16" i="2"/>
  <c r="GG16" i="2"/>
  <c r="FT16" i="2"/>
  <c r="GT15" i="2"/>
  <c r="GG15" i="2"/>
  <c r="FT15" i="2"/>
  <c r="GT14" i="2"/>
  <c r="GG14" i="2"/>
  <c r="FT14" i="2"/>
  <c r="GT13" i="2"/>
  <c r="GG13" i="2"/>
  <c r="FT13" i="2"/>
  <c r="GT12" i="2"/>
  <c r="GG12" i="2"/>
  <c r="FT12" i="2"/>
  <c r="GT11" i="2"/>
  <c r="GG11" i="2"/>
  <c r="FT11" i="2"/>
  <c r="GT10" i="2"/>
  <c r="GG10" i="2"/>
  <c r="FT10" i="2"/>
  <c r="GT9" i="2"/>
  <c r="GG9" i="2"/>
  <c r="FT9" i="2"/>
  <c r="GT8" i="2"/>
  <c r="GG8" i="2"/>
  <c r="FT8" i="2"/>
  <c r="GT7" i="2"/>
  <c r="GG7" i="2"/>
  <c r="FT7" i="2"/>
  <c r="GT6" i="2"/>
  <c r="GU6" i="2" s="1"/>
  <c r="FE40" i="2"/>
  <c r="FE42" i="2" s="1"/>
  <c r="FE47" i="2" s="1"/>
  <c r="FD40" i="2"/>
  <c r="FD42" i="2" s="1"/>
  <c r="FD47" i="2" s="1"/>
  <c r="FC40" i="2"/>
  <c r="FC42" i="2" s="1"/>
  <c r="FC47" i="2" s="1"/>
  <c r="FB40" i="2"/>
  <c r="FB42" i="2" s="1"/>
  <c r="FB47" i="2" s="1"/>
  <c r="FA40" i="2"/>
  <c r="FA42" i="2" s="1"/>
  <c r="FA47" i="2" s="1"/>
  <c r="EZ40" i="2"/>
  <c r="EZ42" i="2" s="1"/>
  <c r="EZ47" i="2" s="1"/>
  <c r="EY40" i="2"/>
  <c r="EY42" i="2" s="1"/>
  <c r="EY47" i="2" s="1"/>
  <c r="EX40" i="2"/>
  <c r="EX42" i="2" s="1"/>
  <c r="EX47" i="2" s="1"/>
  <c r="EW40" i="2"/>
  <c r="EW42" i="2" s="1"/>
  <c r="EW47" i="2" s="1"/>
  <c r="EV40" i="2"/>
  <c r="EV42" i="2" s="1"/>
  <c r="EV47" i="2" s="1"/>
  <c r="EU40" i="2"/>
  <c r="EU42" i="2" s="1"/>
  <c r="EU47" i="2" s="1"/>
  <c r="ET40" i="2"/>
  <c r="ET42" i="2" s="1"/>
  <c r="ER40" i="2"/>
  <c r="ER42" i="2" s="1"/>
  <c r="ER47" i="2" s="1"/>
  <c r="EQ40" i="2"/>
  <c r="EQ42" i="2" s="1"/>
  <c r="EQ47" i="2" s="1"/>
  <c r="EP40" i="2"/>
  <c r="EP42" i="2" s="1"/>
  <c r="EP47" i="2" s="1"/>
  <c r="EO40" i="2"/>
  <c r="EO42" i="2" s="1"/>
  <c r="EO47" i="2" s="1"/>
  <c r="EN40" i="2"/>
  <c r="EN42" i="2" s="1"/>
  <c r="EN47" i="2" s="1"/>
  <c r="EM40" i="2"/>
  <c r="EM42" i="2" s="1"/>
  <c r="EM47" i="2" s="1"/>
  <c r="EL40" i="2"/>
  <c r="EL42" i="2" s="1"/>
  <c r="EL47" i="2" s="1"/>
  <c r="EK40" i="2"/>
  <c r="EK42" i="2" s="1"/>
  <c r="EK47" i="2" s="1"/>
  <c r="EJ40" i="2"/>
  <c r="EJ42" i="2" s="1"/>
  <c r="EJ47" i="2" s="1"/>
  <c r="EI40" i="2"/>
  <c r="EI42" i="2" s="1"/>
  <c r="EI47" i="2" s="1"/>
  <c r="EH40" i="2"/>
  <c r="EH42" i="2" s="1"/>
  <c r="EH47" i="2" s="1"/>
  <c r="EG40" i="2"/>
  <c r="EG42" i="2" s="1"/>
  <c r="EE40" i="2"/>
  <c r="EE42" i="2" s="1"/>
  <c r="EE47" i="2" s="1"/>
  <c r="ED40" i="2"/>
  <c r="ED42" i="2" s="1"/>
  <c r="ED47" i="2" s="1"/>
  <c r="EC40" i="2"/>
  <c r="EC42" i="2" s="1"/>
  <c r="EC47" i="2" s="1"/>
  <c r="EB40" i="2"/>
  <c r="EB42" i="2" s="1"/>
  <c r="EB47" i="2" s="1"/>
  <c r="EA40" i="2"/>
  <c r="EA42" i="2" s="1"/>
  <c r="EA47" i="2" s="1"/>
  <c r="DZ40" i="2"/>
  <c r="DZ42" i="2" s="1"/>
  <c r="DZ47" i="2" s="1"/>
  <c r="DY40" i="2"/>
  <c r="DY42" i="2" s="1"/>
  <c r="DY47" i="2" s="1"/>
  <c r="DX40" i="2"/>
  <c r="DX42" i="2" s="1"/>
  <c r="DX47" i="2" s="1"/>
  <c r="DW40" i="2"/>
  <c r="DW42" i="2" s="1"/>
  <c r="DW47" i="2" s="1"/>
  <c r="DV40" i="2"/>
  <c r="DV42" i="2" s="1"/>
  <c r="DV47" i="2" s="1"/>
  <c r="DU40" i="2"/>
  <c r="DU42" i="2" s="1"/>
  <c r="DU47" i="2" s="1"/>
  <c r="DT40" i="2"/>
  <c r="DT42" i="2" s="1"/>
  <c r="FF39" i="2"/>
  <c r="ES39" i="2"/>
  <c r="EF39" i="2"/>
  <c r="FF38" i="2"/>
  <c r="ES38" i="2"/>
  <c r="EF38" i="2"/>
  <c r="FF37" i="2"/>
  <c r="ES37" i="2"/>
  <c r="EF37" i="2"/>
  <c r="FF36" i="2"/>
  <c r="ES36" i="2"/>
  <c r="EF36" i="2"/>
  <c r="FF35" i="2"/>
  <c r="ES35" i="2"/>
  <c r="EF35" i="2"/>
  <c r="FF34" i="2"/>
  <c r="ES34" i="2"/>
  <c r="EF34" i="2"/>
  <c r="FF33" i="2"/>
  <c r="ES33" i="2"/>
  <c r="EF33" i="2"/>
  <c r="FF32" i="2"/>
  <c r="ES32" i="2"/>
  <c r="EF32" i="2"/>
  <c r="FF31" i="2"/>
  <c r="ES31" i="2"/>
  <c r="EF31" i="2"/>
  <c r="FF30" i="2"/>
  <c r="ES30" i="2"/>
  <c r="EF30" i="2"/>
  <c r="FF29" i="2"/>
  <c r="ES29" i="2"/>
  <c r="EF29" i="2"/>
  <c r="FF28" i="2"/>
  <c r="ES28" i="2"/>
  <c r="EF28" i="2"/>
  <c r="FF27" i="2"/>
  <c r="ES27" i="2"/>
  <c r="EF27" i="2"/>
  <c r="FF26" i="2"/>
  <c r="ES26" i="2"/>
  <c r="EF26" i="2"/>
  <c r="FF25" i="2"/>
  <c r="ES25" i="2"/>
  <c r="EF25" i="2"/>
  <c r="FF24" i="2"/>
  <c r="ES24" i="2"/>
  <c r="EF24" i="2"/>
  <c r="FF23" i="2"/>
  <c r="ES23" i="2"/>
  <c r="EF23" i="2"/>
  <c r="FF22" i="2"/>
  <c r="ES22" i="2"/>
  <c r="EF22" i="2"/>
  <c r="FF21" i="2"/>
  <c r="ES21" i="2"/>
  <c r="EF21" i="2"/>
  <c r="FF20" i="2"/>
  <c r="ES20" i="2"/>
  <c r="EF20" i="2"/>
  <c r="FF19" i="2"/>
  <c r="ES19" i="2"/>
  <c r="EF19" i="2"/>
  <c r="FF18" i="2"/>
  <c r="ES18" i="2"/>
  <c r="EF18" i="2"/>
  <c r="FF17" i="2"/>
  <c r="ES17" i="2"/>
  <c r="EF17" i="2"/>
  <c r="FF16" i="2"/>
  <c r="ES16" i="2"/>
  <c r="EF16" i="2"/>
  <c r="FF15" i="2"/>
  <c r="ES15" i="2"/>
  <c r="EF15" i="2"/>
  <c r="FF14" i="2"/>
  <c r="ES14" i="2"/>
  <c r="EF14" i="2"/>
  <c r="FF13" i="2"/>
  <c r="ES13" i="2"/>
  <c r="EF13" i="2"/>
  <c r="FF12" i="2"/>
  <c r="ES12" i="2"/>
  <c r="EF12" i="2"/>
  <c r="FF11" i="2"/>
  <c r="ES11" i="2"/>
  <c r="EF11" i="2"/>
  <c r="FF10" i="2"/>
  <c r="ES10" i="2"/>
  <c r="EF10" i="2"/>
  <c r="FF9" i="2"/>
  <c r="ES9" i="2"/>
  <c r="EF9" i="2"/>
  <c r="FF8" i="2"/>
  <c r="ES8" i="2"/>
  <c r="EF8" i="2"/>
  <c r="FF7" i="2"/>
  <c r="ES7" i="2"/>
  <c r="EF7" i="2"/>
  <c r="FF6" i="2"/>
  <c r="ES6" i="2"/>
  <c r="EF6" i="2"/>
  <c r="DQ40" i="2"/>
  <c r="DQ42" i="2" s="1"/>
  <c r="DQ47" i="2" s="1"/>
  <c r="DP40" i="2"/>
  <c r="DP42" i="2" s="1"/>
  <c r="DP47" i="2" s="1"/>
  <c r="DO40" i="2"/>
  <c r="DO42" i="2" s="1"/>
  <c r="DO47" i="2" s="1"/>
  <c r="DN40" i="2"/>
  <c r="DN42" i="2" s="1"/>
  <c r="DN47" i="2" s="1"/>
  <c r="DM40" i="2"/>
  <c r="DM42" i="2" s="1"/>
  <c r="DM47" i="2" s="1"/>
  <c r="DL40" i="2"/>
  <c r="DL42" i="2" s="1"/>
  <c r="DL47" i="2" s="1"/>
  <c r="DK40" i="2"/>
  <c r="DK42" i="2" s="1"/>
  <c r="DK47" i="2" s="1"/>
  <c r="DJ40" i="2"/>
  <c r="DJ42" i="2" s="1"/>
  <c r="DJ47" i="2" s="1"/>
  <c r="DI40" i="2"/>
  <c r="DI42" i="2" s="1"/>
  <c r="DI47" i="2" s="1"/>
  <c r="DH40" i="2"/>
  <c r="DH42" i="2" s="1"/>
  <c r="DH47" i="2" s="1"/>
  <c r="DG40" i="2"/>
  <c r="DG42" i="2" s="1"/>
  <c r="DG47" i="2" s="1"/>
  <c r="DF40" i="2"/>
  <c r="DF42" i="2" s="1"/>
  <c r="DD40" i="2"/>
  <c r="DD42" i="2" s="1"/>
  <c r="DD47" i="2" s="1"/>
  <c r="DC40" i="2"/>
  <c r="DC42" i="2" s="1"/>
  <c r="DC47" i="2" s="1"/>
  <c r="DB40" i="2"/>
  <c r="DB42" i="2" s="1"/>
  <c r="DB47" i="2" s="1"/>
  <c r="DA40" i="2"/>
  <c r="DA42" i="2" s="1"/>
  <c r="DA47" i="2" s="1"/>
  <c r="CZ40" i="2"/>
  <c r="CZ42" i="2" s="1"/>
  <c r="CZ47" i="2" s="1"/>
  <c r="CY40" i="2"/>
  <c r="CY42" i="2" s="1"/>
  <c r="CY47" i="2" s="1"/>
  <c r="CX40" i="2"/>
  <c r="CX42" i="2" s="1"/>
  <c r="CX47" i="2" s="1"/>
  <c r="CW40" i="2"/>
  <c r="CW42" i="2" s="1"/>
  <c r="CW47" i="2" s="1"/>
  <c r="CV40" i="2"/>
  <c r="CV42" i="2" s="1"/>
  <c r="CV47" i="2" s="1"/>
  <c r="CU40" i="2"/>
  <c r="CU42" i="2" s="1"/>
  <c r="CU47" i="2" s="1"/>
  <c r="CT40" i="2"/>
  <c r="CT42" i="2" s="1"/>
  <c r="CT47" i="2" s="1"/>
  <c r="CS40" i="2"/>
  <c r="CS42" i="2" s="1"/>
  <c r="CQ40" i="2"/>
  <c r="CQ42" i="2" s="1"/>
  <c r="CQ47" i="2" s="1"/>
  <c r="CP40" i="2"/>
  <c r="CP42" i="2" s="1"/>
  <c r="CP47" i="2" s="1"/>
  <c r="CO40" i="2"/>
  <c r="CO42" i="2" s="1"/>
  <c r="CO47" i="2" s="1"/>
  <c r="CN40" i="2"/>
  <c r="CN42" i="2" s="1"/>
  <c r="CN47" i="2" s="1"/>
  <c r="CM40" i="2"/>
  <c r="CM42" i="2" s="1"/>
  <c r="CM47" i="2" s="1"/>
  <c r="CL40" i="2"/>
  <c r="CL42" i="2" s="1"/>
  <c r="CL47" i="2" s="1"/>
  <c r="CK40" i="2"/>
  <c r="CK42" i="2" s="1"/>
  <c r="CK47" i="2" s="1"/>
  <c r="CJ40" i="2"/>
  <c r="CJ42" i="2" s="1"/>
  <c r="CJ47" i="2" s="1"/>
  <c r="CI40" i="2"/>
  <c r="CI42" i="2" s="1"/>
  <c r="CI47" i="2" s="1"/>
  <c r="CH40" i="2"/>
  <c r="CH42" i="2" s="1"/>
  <c r="CH47" i="2" s="1"/>
  <c r="CG40" i="2"/>
  <c r="CG42" i="2" s="1"/>
  <c r="CG47" i="2" s="1"/>
  <c r="CF40" i="2"/>
  <c r="CF42" i="2" s="1"/>
  <c r="DR39" i="2"/>
  <c r="DE39" i="2"/>
  <c r="CR39" i="2"/>
  <c r="DR38" i="2"/>
  <c r="DE38" i="2"/>
  <c r="CR38" i="2"/>
  <c r="DR37" i="2"/>
  <c r="DE37" i="2"/>
  <c r="CR37" i="2"/>
  <c r="DR36" i="2"/>
  <c r="DE36" i="2"/>
  <c r="CR36" i="2"/>
  <c r="DR35" i="2"/>
  <c r="DE35" i="2"/>
  <c r="CR35" i="2"/>
  <c r="DR34" i="2"/>
  <c r="DE34" i="2"/>
  <c r="CR34" i="2"/>
  <c r="DR33" i="2"/>
  <c r="DE33" i="2"/>
  <c r="CR33" i="2"/>
  <c r="DR32" i="2"/>
  <c r="DE32" i="2"/>
  <c r="CR32" i="2"/>
  <c r="DR31" i="2"/>
  <c r="DE31" i="2"/>
  <c r="CR31" i="2"/>
  <c r="DR30" i="2"/>
  <c r="DE30" i="2"/>
  <c r="CR30" i="2"/>
  <c r="DR29" i="2"/>
  <c r="DE29" i="2"/>
  <c r="CR29" i="2"/>
  <c r="DR28" i="2"/>
  <c r="DE28" i="2"/>
  <c r="CR28" i="2"/>
  <c r="DR27" i="2"/>
  <c r="DE27" i="2"/>
  <c r="CR27" i="2"/>
  <c r="DR26" i="2"/>
  <c r="DE26" i="2"/>
  <c r="CR26" i="2"/>
  <c r="DR25" i="2"/>
  <c r="DE25" i="2"/>
  <c r="CR25" i="2"/>
  <c r="DR24" i="2"/>
  <c r="DE24" i="2"/>
  <c r="CR24" i="2"/>
  <c r="DR23" i="2"/>
  <c r="DE23" i="2"/>
  <c r="CR23" i="2"/>
  <c r="DR22" i="2"/>
  <c r="DE22" i="2"/>
  <c r="CR22" i="2"/>
  <c r="DR21" i="2"/>
  <c r="DE21" i="2"/>
  <c r="CR21" i="2"/>
  <c r="DR20" i="2"/>
  <c r="DE20" i="2"/>
  <c r="CR20" i="2"/>
  <c r="DR19" i="2"/>
  <c r="DE19" i="2"/>
  <c r="CR19" i="2"/>
  <c r="DR18" i="2"/>
  <c r="DE18" i="2"/>
  <c r="CR18" i="2"/>
  <c r="DR17" i="2"/>
  <c r="DE17" i="2"/>
  <c r="CR17" i="2"/>
  <c r="DR16" i="2"/>
  <c r="DE16" i="2"/>
  <c r="CR16" i="2"/>
  <c r="DR15" i="2"/>
  <c r="DE15" i="2"/>
  <c r="CR15" i="2"/>
  <c r="DR14" i="2"/>
  <c r="DE14" i="2"/>
  <c r="CR14" i="2"/>
  <c r="DR13" i="2"/>
  <c r="DE13" i="2"/>
  <c r="CR13" i="2"/>
  <c r="DR12" i="2"/>
  <c r="DE12" i="2"/>
  <c r="CR12" i="2"/>
  <c r="DR11" i="2"/>
  <c r="DE11" i="2"/>
  <c r="CR11" i="2"/>
  <c r="DR10" i="2"/>
  <c r="DE10" i="2"/>
  <c r="CR10" i="2"/>
  <c r="DR9" i="2"/>
  <c r="DE9" i="2"/>
  <c r="CR9" i="2"/>
  <c r="DR8" i="2"/>
  <c r="DE8" i="2"/>
  <c r="CR8" i="2"/>
  <c r="DR7" i="2"/>
  <c r="DE7" i="2"/>
  <c r="CR7" i="2"/>
  <c r="DR6" i="2"/>
  <c r="DE6" i="2"/>
  <c r="CR6" i="2"/>
  <c r="CC40" i="2"/>
  <c r="CC42" i="2" s="1"/>
  <c r="CC47" i="2" s="1"/>
  <c r="CB40" i="2"/>
  <c r="CB42" i="2" s="1"/>
  <c r="CB47" i="2" s="1"/>
  <c r="CA40" i="2"/>
  <c r="CA42" i="2" s="1"/>
  <c r="CA47" i="2" s="1"/>
  <c r="BZ40" i="2"/>
  <c r="BZ42" i="2" s="1"/>
  <c r="BZ47" i="2" s="1"/>
  <c r="BY40" i="2"/>
  <c r="BY42" i="2" s="1"/>
  <c r="BY47" i="2" s="1"/>
  <c r="BX40" i="2"/>
  <c r="BX42" i="2" s="1"/>
  <c r="BX47" i="2" s="1"/>
  <c r="BW40" i="2"/>
  <c r="BW42" i="2" s="1"/>
  <c r="BW47" i="2" s="1"/>
  <c r="BV40" i="2"/>
  <c r="BV42" i="2" s="1"/>
  <c r="BV47" i="2" s="1"/>
  <c r="BU40" i="2"/>
  <c r="BU42" i="2" s="1"/>
  <c r="BU47" i="2" s="1"/>
  <c r="BT40" i="2"/>
  <c r="BT42" i="2" s="1"/>
  <c r="BT47" i="2" s="1"/>
  <c r="BS40" i="2"/>
  <c r="BS42" i="2" s="1"/>
  <c r="BS47" i="2" s="1"/>
  <c r="BR40" i="2"/>
  <c r="BR42" i="2" s="1"/>
  <c r="BP40" i="2"/>
  <c r="BP42" i="2" s="1"/>
  <c r="BP47" i="2" s="1"/>
  <c r="BO40" i="2"/>
  <c r="BO42" i="2" s="1"/>
  <c r="BO47" i="2" s="1"/>
  <c r="BN40" i="2"/>
  <c r="BN42" i="2" s="1"/>
  <c r="BN47" i="2" s="1"/>
  <c r="BM40" i="2"/>
  <c r="BM42" i="2" s="1"/>
  <c r="BM47" i="2" s="1"/>
  <c r="BL40" i="2"/>
  <c r="BL42" i="2" s="1"/>
  <c r="BL47" i="2" s="1"/>
  <c r="BK40" i="2"/>
  <c r="BK42" i="2" s="1"/>
  <c r="BK47" i="2" s="1"/>
  <c r="BJ40" i="2"/>
  <c r="BJ42" i="2" s="1"/>
  <c r="BJ47" i="2" s="1"/>
  <c r="BI40" i="2"/>
  <c r="BI42" i="2" s="1"/>
  <c r="BI47" i="2" s="1"/>
  <c r="BH40" i="2"/>
  <c r="BH42" i="2" s="1"/>
  <c r="BH47" i="2" s="1"/>
  <c r="BG40" i="2"/>
  <c r="BG42" i="2" s="1"/>
  <c r="BG47" i="2" s="1"/>
  <c r="BF40" i="2"/>
  <c r="BF42" i="2" s="1"/>
  <c r="BF47" i="2" s="1"/>
  <c r="BE40" i="2"/>
  <c r="BE42" i="2" s="1"/>
  <c r="BC40" i="2"/>
  <c r="BC42" i="2" s="1"/>
  <c r="BC47" i="2" s="1"/>
  <c r="BB40" i="2"/>
  <c r="BB42" i="2" s="1"/>
  <c r="BB47" i="2" s="1"/>
  <c r="BA40" i="2"/>
  <c r="BA42" i="2" s="1"/>
  <c r="BA47" i="2" s="1"/>
  <c r="AZ40" i="2"/>
  <c r="AZ42" i="2" s="1"/>
  <c r="AZ47" i="2" s="1"/>
  <c r="AY40" i="2"/>
  <c r="AY42" i="2" s="1"/>
  <c r="AY47" i="2" s="1"/>
  <c r="AX40" i="2"/>
  <c r="AX42" i="2" s="1"/>
  <c r="AX47" i="2" s="1"/>
  <c r="AW40" i="2"/>
  <c r="AW42" i="2" s="1"/>
  <c r="AW47" i="2" s="1"/>
  <c r="AV40" i="2"/>
  <c r="AV42" i="2" s="1"/>
  <c r="AV47" i="2" s="1"/>
  <c r="AU40" i="2"/>
  <c r="AU42" i="2" s="1"/>
  <c r="AU47" i="2" s="1"/>
  <c r="AT40" i="2"/>
  <c r="AT42" i="2" s="1"/>
  <c r="AT47" i="2" s="1"/>
  <c r="AS40" i="2"/>
  <c r="AS42" i="2" s="1"/>
  <c r="AS47" i="2" s="1"/>
  <c r="AR40" i="2"/>
  <c r="AR42" i="2" s="1"/>
  <c r="CD39" i="2"/>
  <c r="BQ39" i="2"/>
  <c r="CD38" i="2"/>
  <c r="BQ38" i="2"/>
  <c r="CD37" i="2"/>
  <c r="BQ37" i="2"/>
  <c r="CD36" i="2"/>
  <c r="BQ36" i="2"/>
  <c r="CD35" i="2"/>
  <c r="BQ35" i="2"/>
  <c r="CD34" i="2"/>
  <c r="BQ34" i="2"/>
  <c r="CD33" i="2"/>
  <c r="BQ33" i="2"/>
  <c r="CD32" i="2"/>
  <c r="BQ32" i="2"/>
  <c r="CD31" i="2"/>
  <c r="BQ31" i="2"/>
  <c r="CD30" i="2"/>
  <c r="BQ30" i="2"/>
  <c r="CD29" i="2"/>
  <c r="BQ29" i="2"/>
  <c r="CD28" i="2"/>
  <c r="BQ28" i="2"/>
  <c r="CD27" i="2"/>
  <c r="BQ27" i="2"/>
  <c r="CD26" i="2"/>
  <c r="BQ26" i="2"/>
  <c r="CD25" i="2"/>
  <c r="BQ25" i="2"/>
  <c r="CD24" i="2"/>
  <c r="BQ24" i="2"/>
  <c r="CD23" i="2"/>
  <c r="BQ23" i="2"/>
  <c r="CD22" i="2"/>
  <c r="BQ22" i="2"/>
  <c r="CD21" i="2"/>
  <c r="BQ21" i="2"/>
  <c r="CD20" i="2"/>
  <c r="BQ20" i="2"/>
  <c r="CD19" i="2"/>
  <c r="BQ19" i="2"/>
  <c r="CD18" i="2"/>
  <c r="BQ18" i="2"/>
  <c r="CD17" i="2"/>
  <c r="BQ17" i="2"/>
  <c r="CD16" i="2"/>
  <c r="BQ16" i="2"/>
  <c r="CD15" i="2"/>
  <c r="BQ15" i="2"/>
  <c r="CD14" i="2"/>
  <c r="BQ14" i="2"/>
  <c r="CD13" i="2"/>
  <c r="BQ13" i="2"/>
  <c r="CD12" i="2"/>
  <c r="BQ12" i="2"/>
  <c r="CD11" i="2"/>
  <c r="BQ11" i="2"/>
  <c r="CD10" i="2"/>
  <c r="BQ10" i="2"/>
  <c r="CD9" i="2"/>
  <c r="BQ9" i="2"/>
  <c r="CD8" i="2"/>
  <c r="BQ8" i="2"/>
  <c r="CD7" i="2"/>
  <c r="BQ7" i="2"/>
  <c r="CD6" i="2"/>
  <c r="BQ6" i="2"/>
  <c r="AO40" i="2"/>
  <c r="AO42" i="2" s="1"/>
  <c r="AO47" i="2" s="1"/>
  <c r="AN40" i="2"/>
  <c r="AN42" i="2" s="1"/>
  <c r="AN47" i="2" s="1"/>
  <c r="AM40" i="2"/>
  <c r="AM42" i="2" s="1"/>
  <c r="AM47" i="2" s="1"/>
  <c r="AL40" i="2"/>
  <c r="AL42" i="2" s="1"/>
  <c r="AL47" i="2" s="1"/>
  <c r="AK40" i="2"/>
  <c r="AK42" i="2" s="1"/>
  <c r="AK47" i="2" s="1"/>
  <c r="AJ40" i="2"/>
  <c r="AJ42" i="2" s="1"/>
  <c r="AJ47" i="2" s="1"/>
  <c r="AI40" i="2"/>
  <c r="AI42" i="2" s="1"/>
  <c r="AI47" i="2" s="1"/>
  <c r="AH40" i="2"/>
  <c r="AH42" i="2" s="1"/>
  <c r="AH47" i="2" s="1"/>
  <c r="AG40" i="2"/>
  <c r="AG42" i="2" s="1"/>
  <c r="AG47" i="2" s="1"/>
  <c r="AF40" i="2"/>
  <c r="AF42" i="2" s="1"/>
  <c r="AF47" i="2" s="1"/>
  <c r="AE40" i="2"/>
  <c r="AE42" i="2" s="1"/>
  <c r="AE47" i="2" s="1"/>
  <c r="AD40" i="2"/>
  <c r="AD42" i="2" s="1"/>
  <c r="AB40" i="2"/>
  <c r="AB42" i="2" s="1"/>
  <c r="AB47" i="2" s="1"/>
  <c r="AA40" i="2"/>
  <c r="AA42" i="2" s="1"/>
  <c r="AA47" i="2" s="1"/>
  <c r="Z40" i="2"/>
  <c r="Z42" i="2" s="1"/>
  <c r="Z47" i="2" s="1"/>
  <c r="Y40" i="2"/>
  <c r="Y42" i="2" s="1"/>
  <c r="Y47" i="2" s="1"/>
  <c r="X40" i="2"/>
  <c r="X42" i="2" s="1"/>
  <c r="X47" i="2" s="1"/>
  <c r="W40" i="2"/>
  <c r="W42" i="2" s="1"/>
  <c r="W47" i="2" s="1"/>
  <c r="V40" i="2"/>
  <c r="V42" i="2" s="1"/>
  <c r="V47" i="2" s="1"/>
  <c r="U40" i="2"/>
  <c r="U42" i="2" s="1"/>
  <c r="U47" i="2" s="1"/>
  <c r="T40" i="2"/>
  <c r="T42" i="2" s="1"/>
  <c r="T47" i="2" s="1"/>
  <c r="S40" i="2"/>
  <c r="S42" i="2" s="1"/>
  <c r="S47" i="2" s="1"/>
  <c r="R40" i="2"/>
  <c r="R42" i="2" s="1"/>
  <c r="R47" i="2" s="1"/>
  <c r="Q40" i="2"/>
  <c r="Q42" i="2" s="1"/>
  <c r="P39" i="2"/>
  <c r="AQ39" i="2" s="1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O40" i="2"/>
  <c r="O42" i="2" s="1"/>
  <c r="O47" i="2" s="1"/>
  <c r="N40" i="2"/>
  <c r="N42" i="2" s="1"/>
  <c r="N47" i="2" s="1"/>
  <c r="M40" i="2"/>
  <c r="M42" i="2" s="1"/>
  <c r="M47" i="2" s="1"/>
  <c r="L40" i="2"/>
  <c r="L42" i="2" s="1"/>
  <c r="L47" i="2" s="1"/>
  <c r="K40" i="2"/>
  <c r="K42" i="2" s="1"/>
  <c r="K47" i="2" s="1"/>
  <c r="J40" i="2"/>
  <c r="J42" i="2" s="1"/>
  <c r="J47" i="2" s="1"/>
  <c r="I40" i="2"/>
  <c r="I42" i="2" s="1"/>
  <c r="I47" i="2" s="1"/>
  <c r="H40" i="2"/>
  <c r="H42" i="2" s="1"/>
  <c r="H47" i="2" s="1"/>
  <c r="G40" i="2"/>
  <c r="G42" i="2" s="1"/>
  <c r="G47" i="2" s="1"/>
  <c r="F40" i="2"/>
  <c r="F42" i="2" s="1"/>
  <c r="F47" i="2" s="1"/>
  <c r="E40" i="2"/>
  <c r="E42" i="2" s="1"/>
  <c r="E47" i="2" s="1"/>
  <c r="D40" i="2"/>
  <c r="P6" i="2"/>
  <c r="BD42" i="2" l="1"/>
  <c r="AR47" i="2"/>
  <c r="BQ42" i="2"/>
  <c r="BQ47" i="2" s="1"/>
  <c r="BE47" i="2"/>
  <c r="CD42" i="2"/>
  <c r="CD47" i="2" s="1"/>
  <c r="BR47" i="2"/>
  <c r="CR42" i="2"/>
  <c r="CF47" i="2"/>
  <c r="DE42" i="2"/>
  <c r="DE47" i="2" s="1"/>
  <c r="CS47" i="2"/>
  <c r="DR42" i="2"/>
  <c r="DR47" i="2" s="1"/>
  <c r="DF47" i="2"/>
  <c r="EF42" i="2"/>
  <c r="DT47" i="2"/>
  <c r="ES42" i="2"/>
  <c r="ES47" i="2" s="1"/>
  <c r="EG47" i="2"/>
  <c r="FF42" i="2"/>
  <c r="FF47" i="2" s="1"/>
  <c r="ET47" i="2"/>
  <c r="AQ38" i="5"/>
  <c r="DS38" i="5"/>
  <c r="GU38" i="5"/>
  <c r="JW38" i="5"/>
  <c r="AQ39" i="5"/>
  <c r="JW39" i="5"/>
  <c r="MY39" i="5"/>
  <c r="OM38" i="5"/>
  <c r="P40" i="2"/>
  <c r="GU9" i="2"/>
  <c r="GU11" i="2"/>
  <c r="GU13" i="2"/>
  <c r="GU17" i="2"/>
  <c r="GU19" i="2"/>
  <c r="GU21" i="2"/>
  <c r="GU23" i="2"/>
  <c r="GU25" i="2"/>
  <c r="GU27" i="2"/>
  <c r="GU29" i="2"/>
  <c r="GU31" i="2"/>
  <c r="GU33" i="2"/>
  <c r="GU35" i="2"/>
  <c r="GU37" i="2"/>
  <c r="GU39" i="2"/>
  <c r="NL42" i="2"/>
  <c r="NL47" i="2" s="1"/>
  <c r="MZ47" i="2"/>
  <c r="NY42" i="2"/>
  <c r="NY47" i="2" s="1"/>
  <c r="NM47" i="2"/>
  <c r="OL42" i="2"/>
  <c r="OL47" i="2" s="1"/>
  <c r="NZ47" i="2"/>
  <c r="HH42" i="2"/>
  <c r="GV47" i="2"/>
  <c r="HU42" i="2"/>
  <c r="HU47" i="2" s="1"/>
  <c r="HI47" i="2"/>
  <c r="IH42" i="2"/>
  <c r="IH47" i="2" s="1"/>
  <c r="HV47" i="2"/>
  <c r="IV42" i="2"/>
  <c r="IJ47" i="2"/>
  <c r="JI42" i="2"/>
  <c r="JI47" i="2" s="1"/>
  <c r="IW47" i="2"/>
  <c r="JV42" i="2"/>
  <c r="JV47" i="2" s="1"/>
  <c r="JJ47" i="2"/>
  <c r="KJ42" i="2"/>
  <c r="JX47" i="2"/>
  <c r="KW42" i="2"/>
  <c r="KW47" i="2" s="1"/>
  <c r="KK47" i="2"/>
  <c r="LJ42" i="2"/>
  <c r="LJ47" i="2" s="1"/>
  <c r="KX47" i="2"/>
  <c r="LX42" i="2"/>
  <c r="LL47" i="2"/>
  <c r="MK42" i="2"/>
  <c r="MK47" i="2" s="1"/>
  <c r="LY47" i="2"/>
  <c r="MX42" i="2"/>
  <c r="MX47" i="2" s="1"/>
  <c r="ML47" i="2"/>
  <c r="AIM40" i="9"/>
  <c r="FG9" i="2"/>
  <c r="FG11" i="2"/>
  <c r="FG13" i="2"/>
  <c r="FG17" i="2"/>
  <c r="FG19" i="2"/>
  <c r="FG21" i="2"/>
  <c r="FG23" i="2"/>
  <c r="FG25" i="2"/>
  <c r="FG27" i="2"/>
  <c r="FG29" i="2"/>
  <c r="FG31" i="2"/>
  <c r="FG33" i="2"/>
  <c r="FG35" i="2"/>
  <c r="FG37" i="2"/>
  <c r="FG39" i="2"/>
  <c r="AC42" i="2"/>
  <c r="AC47" i="2" s="1"/>
  <c r="Q47" i="2"/>
  <c r="AP42" i="2"/>
  <c r="AP47" i="2" s="1"/>
  <c r="AD47" i="2"/>
  <c r="FT42" i="2"/>
  <c r="FH47" i="2"/>
  <c r="GG42" i="2"/>
  <c r="GG47" i="2" s="1"/>
  <c r="FU47" i="2"/>
  <c r="GT42" i="2"/>
  <c r="GT47" i="2" s="1"/>
  <c r="GH47" i="2"/>
  <c r="OM37" i="2"/>
  <c r="OM39" i="2"/>
  <c r="CE39" i="5"/>
  <c r="FG39" i="5"/>
  <c r="II39" i="5"/>
  <c r="CE39" i="4"/>
  <c r="AKB39" i="9"/>
  <c r="AP40" i="2"/>
  <c r="D42" i="2"/>
  <c r="AQ34" i="6"/>
  <c r="AQ30" i="6"/>
  <c r="BD40" i="2"/>
  <c r="AC40" i="2"/>
  <c r="AQ6" i="4"/>
  <c r="AKB37" i="9"/>
  <c r="AKB35" i="9"/>
  <c r="AKB31" i="9"/>
  <c r="AKB27" i="9"/>
  <c r="AKB23" i="9"/>
  <c r="AKB33" i="9"/>
  <c r="AKB29" i="9"/>
  <c r="AKB25" i="9"/>
  <c r="AKB20" i="9"/>
  <c r="AKB9" i="9"/>
  <c r="AKB7" i="9"/>
  <c r="AKB6" i="9"/>
  <c r="AKB13" i="9"/>
  <c r="MY15" i="8"/>
  <c r="MY17" i="8"/>
  <c r="MY19" i="8"/>
  <c r="MY21" i="8"/>
  <c r="MY23" i="8"/>
  <c r="MY25" i="8"/>
  <c r="MY27" i="8"/>
  <c r="MY29" i="8"/>
  <c r="MY31" i="8"/>
  <c r="MY33" i="8"/>
  <c r="DS31" i="8"/>
  <c r="DS33" i="8"/>
  <c r="DS8" i="8"/>
  <c r="DS10" i="8"/>
  <c r="DS12" i="8"/>
  <c r="DS16" i="8"/>
  <c r="DS18" i="8"/>
  <c r="DS36" i="8"/>
  <c r="UQ37" i="5"/>
  <c r="RO38" i="5"/>
  <c r="QA38" i="5"/>
  <c r="MY38" i="5"/>
  <c r="AQ37" i="5"/>
  <c r="II8" i="2"/>
  <c r="AQ7" i="2"/>
  <c r="AQ9" i="2"/>
  <c r="AQ11" i="2"/>
  <c r="AQ13" i="2"/>
  <c r="AQ15" i="2"/>
  <c r="AQ17" i="2"/>
  <c r="AQ19" i="2"/>
  <c r="AQ21" i="2"/>
  <c r="AQ23" i="2"/>
  <c r="AQ25" i="2"/>
  <c r="AQ27" i="2"/>
  <c r="AQ29" i="2"/>
  <c r="AQ31" i="2"/>
  <c r="AQ33" i="2"/>
  <c r="AQ35" i="2"/>
  <c r="AQ37" i="2"/>
  <c r="FG15" i="2"/>
  <c r="II15" i="2"/>
  <c r="JW8" i="8"/>
  <c r="JW12" i="8"/>
  <c r="JW16" i="8"/>
  <c r="JW20" i="8"/>
  <c r="JW26" i="8"/>
  <c r="JW32" i="8"/>
  <c r="II7" i="8"/>
  <c r="OM8" i="6"/>
  <c r="OM9" i="6"/>
  <c r="OM11" i="6"/>
  <c r="OM13" i="6"/>
  <c r="OM15" i="6"/>
  <c r="OM17" i="6"/>
  <c r="OM19" i="6"/>
  <c r="OM21" i="6"/>
  <c r="OM23" i="6"/>
  <c r="OM25" i="6"/>
  <c r="OM27" i="6"/>
  <c r="OM29" i="6"/>
  <c r="OM31" i="6"/>
  <c r="OM33" i="6"/>
  <c r="OM37" i="6"/>
  <c r="MY7" i="6"/>
  <c r="MY10" i="6"/>
  <c r="MY12" i="6"/>
  <c r="MY14" i="6"/>
  <c r="MY18" i="6"/>
  <c r="MY22" i="6"/>
  <c r="MY24" i="6"/>
  <c r="MY30" i="6"/>
  <c r="MY34" i="6"/>
  <c r="LK8" i="6"/>
  <c r="LK11" i="6"/>
  <c r="LK17" i="6"/>
  <c r="LK21" i="6"/>
  <c r="LK25" i="6"/>
  <c r="II8" i="6"/>
  <c r="II11" i="6"/>
  <c r="II13" i="6"/>
  <c r="II15" i="6"/>
  <c r="II17" i="6"/>
  <c r="II19" i="6"/>
  <c r="II21" i="6"/>
  <c r="II23" i="6"/>
  <c r="II25" i="6"/>
  <c r="II27" i="6"/>
  <c r="II29" i="6"/>
  <c r="II31" i="6"/>
  <c r="II33" i="6"/>
  <c r="II35" i="6"/>
  <c r="GU7" i="6"/>
  <c r="GU10" i="6"/>
  <c r="GU12" i="6"/>
  <c r="GU14" i="6"/>
  <c r="GU18" i="6"/>
  <c r="GU20" i="6"/>
  <c r="GU22" i="6"/>
  <c r="GU24" i="6"/>
  <c r="GU28" i="6"/>
  <c r="GU30" i="6"/>
  <c r="GU32" i="6"/>
  <c r="FG8" i="6"/>
  <c r="FG11" i="6"/>
  <c r="FG13" i="6"/>
  <c r="FG17" i="6"/>
  <c r="FG19" i="6"/>
  <c r="FG21" i="6"/>
  <c r="FG23" i="6"/>
  <c r="FG25" i="6"/>
  <c r="FG27" i="6"/>
  <c r="FG29" i="6"/>
  <c r="FG31" i="6"/>
  <c r="FG33" i="6"/>
  <c r="FG35" i="6"/>
  <c r="UQ15" i="5"/>
  <c r="UQ17" i="5"/>
  <c r="UQ19" i="5"/>
  <c r="UQ21" i="5"/>
  <c r="UQ23" i="5"/>
  <c r="UQ25" i="5"/>
  <c r="UQ29" i="5"/>
  <c r="UQ31" i="5"/>
  <c r="UQ33" i="5"/>
  <c r="UQ35" i="5"/>
  <c r="TC6" i="5"/>
  <c r="TC8" i="5"/>
  <c r="TC10" i="5"/>
  <c r="TC12" i="5"/>
  <c r="TC14" i="5"/>
  <c r="TC16" i="5"/>
  <c r="TC18" i="5"/>
  <c r="TC20" i="5"/>
  <c r="TC22" i="5"/>
  <c r="TC24" i="5"/>
  <c r="TC26" i="5"/>
  <c r="TC28" i="5"/>
  <c r="TC30" i="5"/>
  <c r="TC32" i="5"/>
  <c r="TC34" i="5"/>
  <c r="TC36" i="5"/>
  <c r="RO6" i="5"/>
  <c r="RO8" i="5"/>
  <c r="RO10" i="5"/>
  <c r="RO12" i="5"/>
  <c r="RO14" i="5"/>
  <c r="RO16" i="5"/>
  <c r="RO18" i="5"/>
  <c r="RO20" i="5"/>
  <c r="RO22" i="5"/>
  <c r="RO24" i="5"/>
  <c r="RO26" i="5"/>
  <c r="RO28" i="5"/>
  <c r="RO30" i="5"/>
  <c r="RO32" i="5"/>
  <c r="RO34" i="5"/>
  <c r="RO36" i="5"/>
  <c r="QA6" i="5"/>
  <c r="QA8" i="5"/>
  <c r="QA10" i="5"/>
  <c r="QA12" i="5"/>
  <c r="QA14" i="5"/>
  <c r="QA16" i="5"/>
  <c r="QA18" i="5"/>
  <c r="QA20" i="5"/>
  <c r="QA22" i="5"/>
  <c r="QA24" i="5"/>
  <c r="QA26" i="5"/>
  <c r="QA28" i="5"/>
  <c r="QA30" i="5"/>
  <c r="QA32" i="5"/>
  <c r="QA34" i="5"/>
  <c r="QA36" i="5"/>
  <c r="OM6" i="5"/>
  <c r="OM8" i="5"/>
  <c r="OM10" i="5"/>
  <c r="OM12" i="5"/>
  <c r="OM14" i="5"/>
  <c r="OM26" i="5"/>
  <c r="OM28" i="5"/>
  <c r="OM30" i="5"/>
  <c r="OM32" i="5"/>
  <c r="OM34" i="5"/>
  <c r="OM36" i="5"/>
  <c r="OM17" i="5"/>
  <c r="OM19" i="5"/>
  <c r="OM21" i="5"/>
  <c r="MY6" i="5"/>
  <c r="MY7" i="5"/>
  <c r="MY8" i="5"/>
  <c r="MY9" i="5"/>
  <c r="MY10" i="5"/>
  <c r="MY11" i="5"/>
  <c r="MY12" i="5"/>
  <c r="MY13" i="5"/>
  <c r="MY14" i="5"/>
  <c r="MY16" i="5"/>
  <c r="MY18" i="5"/>
  <c r="MY20" i="5"/>
  <c r="MY22" i="5"/>
  <c r="MY24" i="5"/>
  <c r="MY26" i="5"/>
  <c r="MY28" i="5"/>
  <c r="MY30" i="5"/>
  <c r="MY32" i="5"/>
  <c r="MY34" i="5"/>
  <c r="MY36" i="5"/>
  <c r="LK37" i="5"/>
  <c r="LK15" i="5"/>
  <c r="LK17" i="5"/>
  <c r="LK19" i="5"/>
  <c r="LK21" i="5"/>
  <c r="LK25" i="5"/>
  <c r="LK27" i="5"/>
  <c r="LK29" i="5"/>
  <c r="LK31" i="5"/>
  <c r="LK33" i="5"/>
  <c r="LK35" i="5"/>
  <c r="JW6" i="5"/>
  <c r="JW8" i="5"/>
  <c r="JW9" i="5"/>
  <c r="JW10" i="5"/>
  <c r="JW11" i="5"/>
  <c r="JW12" i="5"/>
  <c r="JW13" i="5"/>
  <c r="JW14" i="5"/>
  <c r="JW16" i="5"/>
  <c r="JW18" i="5"/>
  <c r="JW20" i="5"/>
  <c r="JW24" i="5"/>
  <c r="JW26" i="5"/>
  <c r="JW28" i="5"/>
  <c r="JW30" i="5"/>
  <c r="JW32" i="5"/>
  <c r="JW34" i="5"/>
  <c r="JW36" i="5"/>
  <c r="II37" i="5"/>
  <c r="II15" i="5"/>
  <c r="II17" i="5"/>
  <c r="II19" i="5"/>
  <c r="II21" i="5"/>
  <c r="II23" i="5"/>
  <c r="II25" i="5"/>
  <c r="II27" i="5"/>
  <c r="II29" i="5"/>
  <c r="II31" i="5"/>
  <c r="II33" i="5"/>
  <c r="II35" i="5"/>
  <c r="GU6" i="5"/>
  <c r="GU7" i="5"/>
  <c r="GU8" i="5"/>
  <c r="GU9" i="5"/>
  <c r="GU10" i="5"/>
  <c r="GU11" i="5"/>
  <c r="GU12" i="5"/>
  <c r="GU13" i="5"/>
  <c r="GU14" i="5"/>
  <c r="GU16" i="5"/>
  <c r="GU18" i="5"/>
  <c r="GU20" i="5"/>
  <c r="GU24" i="5"/>
  <c r="GU26" i="5"/>
  <c r="GU28" i="5"/>
  <c r="GU30" i="5"/>
  <c r="GU32" i="5"/>
  <c r="GU34" i="5"/>
  <c r="GU36" i="5"/>
  <c r="FG37" i="5"/>
  <c r="FG7" i="5"/>
  <c r="FG9" i="5"/>
  <c r="FG15" i="5"/>
  <c r="FG17" i="5"/>
  <c r="FG19" i="5"/>
  <c r="FG21" i="5"/>
  <c r="FG23" i="5"/>
  <c r="FG25" i="5"/>
  <c r="FG27" i="5"/>
  <c r="FG29" i="5"/>
  <c r="FG31" i="5"/>
  <c r="FG33" i="5"/>
  <c r="FG35" i="5"/>
  <c r="DS6" i="5"/>
  <c r="DS7" i="5"/>
  <c r="DS8" i="5"/>
  <c r="DS10" i="5"/>
  <c r="DS11" i="5"/>
  <c r="DS12" i="5"/>
  <c r="DS13" i="5"/>
  <c r="DS14" i="5"/>
  <c r="DS16" i="5"/>
  <c r="DS18" i="5"/>
  <c r="DS20" i="5"/>
  <c r="DS24" i="5"/>
  <c r="DS26" i="5"/>
  <c r="DS28" i="5"/>
  <c r="DS30" i="5"/>
  <c r="DS32" i="5"/>
  <c r="DS34" i="5"/>
  <c r="DS36" i="5"/>
  <c r="CE11" i="5"/>
  <c r="CE15" i="5"/>
  <c r="CE17" i="5"/>
  <c r="CE19" i="5"/>
  <c r="CE21" i="5"/>
  <c r="CE23" i="5"/>
  <c r="CE25" i="5"/>
  <c r="CE37" i="5"/>
  <c r="CE9" i="5"/>
  <c r="CE27" i="5"/>
  <c r="CE29" i="5"/>
  <c r="CE31" i="5"/>
  <c r="CE33" i="5"/>
  <c r="CE35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OM7" i="2"/>
  <c r="OM9" i="2"/>
  <c r="OM13" i="2"/>
  <c r="OM17" i="2"/>
  <c r="OM21" i="2"/>
  <c r="OM23" i="2"/>
  <c r="OM25" i="2"/>
  <c r="OM27" i="2"/>
  <c r="OM29" i="2"/>
  <c r="AKB11" i="9"/>
  <c r="OM33" i="2"/>
  <c r="OM35" i="6"/>
  <c r="WE40" i="9"/>
  <c r="JI40" i="8"/>
  <c r="XS40" i="9"/>
  <c r="OM35" i="2"/>
  <c r="OM31" i="2"/>
  <c r="ADW40" i="9"/>
  <c r="AFK40" i="9"/>
  <c r="TB40" i="5"/>
  <c r="SO40" i="5"/>
  <c r="RN40" i="5"/>
  <c r="PM40" i="5"/>
  <c r="NY40" i="5"/>
  <c r="FF40" i="4"/>
  <c r="ES40" i="4"/>
  <c r="EF40" i="4"/>
  <c r="DR40" i="4"/>
  <c r="CD40" i="4"/>
  <c r="ACI40" i="9"/>
  <c r="KW40" i="5"/>
  <c r="MK40" i="5"/>
  <c r="TP40" i="5"/>
  <c r="UP40" i="5"/>
  <c r="QN40" i="5"/>
  <c r="PZ40" i="5"/>
  <c r="OL40" i="5"/>
  <c r="DE40" i="4"/>
  <c r="AAU40" i="9"/>
  <c r="ZG40" i="9"/>
  <c r="MK40" i="8"/>
  <c r="LX40" i="8"/>
  <c r="KW40" i="8"/>
  <c r="KJ40" i="8"/>
  <c r="JV40" i="8"/>
  <c r="IV40" i="8"/>
  <c r="IH40" i="8"/>
  <c r="HU40" i="8"/>
  <c r="HH40" i="8"/>
  <c r="GT40" i="8"/>
  <c r="GG40" i="8"/>
  <c r="FT40" i="8"/>
  <c r="FF40" i="8"/>
  <c r="ES40" i="8"/>
  <c r="EF40" i="8"/>
  <c r="DR40" i="8"/>
  <c r="CR40" i="8"/>
  <c r="CD40" i="8"/>
  <c r="BQ40" i="8"/>
  <c r="AP40" i="8"/>
  <c r="JW22" i="5"/>
  <c r="AKB12" i="9"/>
  <c r="OM19" i="2"/>
  <c r="GU22" i="5"/>
  <c r="DS22" i="5"/>
  <c r="AQ22" i="5"/>
  <c r="UC40" i="5"/>
  <c r="SB40" i="5"/>
  <c r="RA40" i="5"/>
  <c r="OZ40" i="5"/>
  <c r="OM23" i="5"/>
  <c r="NL40" i="5"/>
  <c r="MX40" i="5"/>
  <c r="LX40" i="5"/>
  <c r="LJ40" i="5"/>
  <c r="LK23" i="5"/>
  <c r="KJ40" i="5"/>
  <c r="GT40" i="4"/>
  <c r="GG40" i="4"/>
  <c r="FT40" i="4"/>
  <c r="CR40" i="4"/>
  <c r="BQ40" i="4"/>
  <c r="BD40" i="4"/>
  <c r="MX40" i="8"/>
  <c r="LJ40" i="8"/>
  <c r="DE40" i="8"/>
  <c r="BD40" i="8"/>
  <c r="AC40" i="8"/>
  <c r="P40" i="8"/>
  <c r="UQ40" i="9"/>
  <c r="TC40" i="9"/>
  <c r="RO40" i="9"/>
  <c r="QA40" i="9"/>
  <c r="OM40" i="9"/>
  <c r="LK40" i="9"/>
  <c r="II40" i="9"/>
  <c r="FG40" i="9"/>
  <c r="CE40" i="9"/>
  <c r="AKB21" i="9"/>
  <c r="AKB16" i="9"/>
  <c r="AKB15" i="9"/>
  <c r="AKB14" i="9"/>
  <c r="AQ8" i="2"/>
  <c r="AQ10" i="2"/>
  <c r="AQ12" i="2"/>
  <c r="AQ14" i="2"/>
  <c r="AQ16" i="2"/>
  <c r="AQ18" i="2"/>
  <c r="AQ20" i="2"/>
  <c r="AQ22" i="2"/>
  <c r="AQ24" i="2"/>
  <c r="AQ26" i="2"/>
  <c r="AQ28" i="2"/>
  <c r="AQ30" i="2"/>
  <c r="AQ32" i="2"/>
  <c r="AQ34" i="2"/>
  <c r="AQ36" i="2"/>
  <c r="AQ38" i="2"/>
  <c r="CE8" i="2"/>
  <c r="CE10" i="2"/>
  <c r="CE12" i="2"/>
  <c r="CE14" i="2"/>
  <c r="CE16" i="2"/>
  <c r="CE18" i="2"/>
  <c r="CE20" i="2"/>
  <c r="CE22" i="2"/>
  <c r="CE24" i="2"/>
  <c r="CE26" i="2"/>
  <c r="CE28" i="2"/>
  <c r="CE30" i="2"/>
  <c r="CE32" i="2"/>
  <c r="CE34" i="2"/>
  <c r="CE36" i="2"/>
  <c r="CE38" i="2"/>
  <c r="DS7" i="2"/>
  <c r="DS8" i="2"/>
  <c r="DS10" i="2"/>
  <c r="DS12" i="2"/>
  <c r="DS16" i="2"/>
  <c r="DS18" i="2"/>
  <c r="DS20" i="2"/>
  <c r="DS22" i="2"/>
  <c r="DS24" i="2"/>
  <c r="DS26" i="2"/>
  <c r="DS28" i="2"/>
  <c r="DS30" i="2"/>
  <c r="DS32" i="2"/>
  <c r="DS34" i="2"/>
  <c r="DS36" i="2"/>
  <c r="DS38" i="2"/>
  <c r="FG6" i="2"/>
  <c r="FG8" i="2"/>
  <c r="FG10" i="2"/>
  <c r="FG12" i="2"/>
  <c r="FG14" i="2"/>
  <c r="FG16" i="2"/>
  <c r="FG18" i="2"/>
  <c r="FG20" i="2"/>
  <c r="FG22" i="2"/>
  <c r="FG24" i="2"/>
  <c r="FG26" i="2"/>
  <c r="FG28" i="2"/>
  <c r="FG30" i="2"/>
  <c r="FG32" i="2"/>
  <c r="FG34" i="2"/>
  <c r="FG36" i="2"/>
  <c r="FG38" i="2"/>
  <c r="EF40" i="2"/>
  <c r="ES40" i="2"/>
  <c r="FF40" i="2"/>
  <c r="GU8" i="2"/>
  <c r="GU10" i="2"/>
  <c r="GU12" i="2"/>
  <c r="GU14" i="2"/>
  <c r="GU16" i="2"/>
  <c r="GU18" i="2"/>
  <c r="GU20" i="2"/>
  <c r="GU22" i="2"/>
  <c r="GU24" i="2"/>
  <c r="GU26" i="2"/>
  <c r="GU28" i="2"/>
  <c r="GU30" i="2"/>
  <c r="GU32" i="2"/>
  <c r="GU34" i="2"/>
  <c r="GU36" i="2"/>
  <c r="GU38" i="2"/>
  <c r="FT40" i="2"/>
  <c r="GG40" i="2"/>
  <c r="GT40" i="2"/>
  <c r="II7" i="2"/>
  <c r="II10" i="2"/>
  <c r="II12" i="2"/>
  <c r="II14" i="2"/>
  <c r="II16" i="2"/>
  <c r="II18" i="2"/>
  <c r="II20" i="2"/>
  <c r="II22" i="2"/>
  <c r="II24" i="2"/>
  <c r="II26" i="2"/>
  <c r="II28" i="2"/>
  <c r="II30" i="2"/>
  <c r="II32" i="2"/>
  <c r="II34" i="2"/>
  <c r="II36" i="2"/>
  <c r="II38" i="2"/>
  <c r="HH40" i="2"/>
  <c r="HU40" i="2"/>
  <c r="IH40" i="2"/>
  <c r="JW6" i="2"/>
  <c r="JW8" i="2"/>
  <c r="JW10" i="2"/>
  <c r="JW12" i="2"/>
  <c r="JW14" i="2"/>
  <c r="JW16" i="2"/>
  <c r="JW18" i="2"/>
  <c r="JW20" i="2"/>
  <c r="JW22" i="2"/>
  <c r="JW24" i="2"/>
  <c r="JW26" i="2"/>
  <c r="JW28" i="2"/>
  <c r="JW30" i="2"/>
  <c r="JW32" i="2"/>
  <c r="JW34" i="2"/>
  <c r="JW36" i="2"/>
  <c r="JW38" i="2"/>
  <c r="IV40" i="2"/>
  <c r="JI40" i="2"/>
  <c r="JV40" i="2"/>
  <c r="LK6" i="2"/>
  <c r="LK8" i="2"/>
  <c r="LK10" i="2"/>
  <c r="LK12" i="2"/>
  <c r="LK14" i="2"/>
  <c r="LK16" i="2"/>
  <c r="LK18" i="2"/>
  <c r="LK20" i="2"/>
  <c r="LK22" i="2"/>
  <c r="LK24" i="2"/>
  <c r="LK26" i="2"/>
  <c r="LK28" i="2"/>
  <c r="LK30" i="2"/>
  <c r="LK32" i="2"/>
  <c r="LK34" i="2"/>
  <c r="LK36" i="2"/>
  <c r="LK38" i="2"/>
  <c r="KJ40" i="2"/>
  <c r="KW40" i="2"/>
  <c r="LJ40" i="2"/>
  <c r="MY6" i="2"/>
  <c r="MY8" i="2"/>
  <c r="MY10" i="2"/>
  <c r="MY12" i="2"/>
  <c r="MY14" i="2"/>
  <c r="MY16" i="2"/>
  <c r="MY18" i="2"/>
  <c r="MY20" i="2"/>
  <c r="MY22" i="2"/>
  <c r="MY24" i="2"/>
  <c r="MY26" i="2"/>
  <c r="MY28" i="2"/>
  <c r="MY30" i="2"/>
  <c r="MY32" i="2"/>
  <c r="MY34" i="2"/>
  <c r="MY36" i="2"/>
  <c r="MY38" i="2"/>
  <c r="LX40" i="2"/>
  <c r="MK40" i="2"/>
  <c r="MX40" i="2"/>
  <c r="OM6" i="2"/>
  <c r="OM8" i="2"/>
  <c r="OM10" i="2"/>
  <c r="OM12" i="2"/>
  <c r="OM14" i="2"/>
  <c r="OM16" i="2"/>
  <c r="OM18" i="2"/>
  <c r="OM20" i="2"/>
  <c r="OM22" i="2"/>
  <c r="OM24" i="2"/>
  <c r="OM26" i="2"/>
  <c r="OM28" i="2"/>
  <c r="OM30" i="2"/>
  <c r="OM32" i="2"/>
  <c r="OM34" i="2"/>
  <c r="OM36" i="2"/>
  <c r="OM38" i="2"/>
  <c r="NL40" i="2"/>
  <c r="NY40" i="2"/>
  <c r="OL40" i="2"/>
  <c r="CE6" i="4"/>
  <c r="FG6" i="4"/>
  <c r="AQ7" i="4"/>
  <c r="DS7" i="4"/>
  <c r="CE8" i="4"/>
  <c r="FG8" i="4"/>
  <c r="AQ9" i="4"/>
  <c r="DS9" i="4"/>
  <c r="GU9" i="4"/>
  <c r="CE10" i="4"/>
  <c r="FG10" i="4"/>
  <c r="AQ11" i="4"/>
  <c r="DS11" i="4"/>
  <c r="CE12" i="4"/>
  <c r="FG12" i="4"/>
  <c r="AQ13" i="4"/>
  <c r="DS13" i="4"/>
  <c r="GU13" i="4"/>
  <c r="CE14" i="4"/>
  <c r="FG14" i="4"/>
  <c r="GU15" i="4"/>
  <c r="CE16" i="4"/>
  <c r="FG16" i="4"/>
  <c r="AQ17" i="4"/>
  <c r="DS17" i="4"/>
  <c r="GU17" i="4"/>
  <c r="CE18" i="4"/>
  <c r="FG18" i="4"/>
  <c r="AQ19" i="4"/>
  <c r="DS19" i="4"/>
  <c r="CE20" i="4"/>
  <c r="FG20" i="4"/>
  <c r="AQ21" i="4"/>
  <c r="DS21" i="4"/>
  <c r="GU21" i="4"/>
  <c r="CE22" i="4"/>
  <c r="FG22" i="4"/>
  <c r="AQ23" i="4"/>
  <c r="DS23" i="4"/>
  <c r="CE24" i="4"/>
  <c r="FG24" i="4"/>
  <c r="AQ25" i="4"/>
  <c r="DS25" i="4"/>
  <c r="GU25" i="4"/>
  <c r="CE26" i="4"/>
  <c r="FG26" i="4"/>
  <c r="AQ27" i="4"/>
  <c r="DS27" i="4"/>
  <c r="CE28" i="4"/>
  <c r="FG28" i="4"/>
  <c r="AQ29" i="4"/>
  <c r="DS29" i="4"/>
  <c r="GU29" i="4"/>
  <c r="CE30" i="4"/>
  <c r="FG30" i="4"/>
  <c r="AQ31" i="4"/>
  <c r="DS31" i="4"/>
  <c r="GU31" i="4"/>
  <c r="CE32" i="4"/>
  <c r="FG32" i="4"/>
  <c r="AQ33" i="4"/>
  <c r="DS33" i="4"/>
  <c r="GU33" i="4"/>
  <c r="CE34" i="4"/>
  <c r="FG34" i="4"/>
  <c r="AQ35" i="4"/>
  <c r="DS35" i="4"/>
  <c r="GU35" i="4"/>
  <c r="CE36" i="4"/>
  <c r="FG36" i="4"/>
  <c r="AQ37" i="4"/>
  <c r="DS37" i="4"/>
  <c r="GU37" i="4"/>
  <c r="CE38" i="4"/>
  <c r="FG38" i="4"/>
  <c r="AQ39" i="4"/>
  <c r="CE7" i="6"/>
  <c r="FG7" i="6"/>
  <c r="II7" i="6"/>
  <c r="LK7" i="6"/>
  <c r="OM7" i="6"/>
  <c r="AQ8" i="6"/>
  <c r="DS8" i="6"/>
  <c r="GU8" i="6"/>
  <c r="JW8" i="6"/>
  <c r="MY8" i="6"/>
  <c r="CE9" i="6"/>
  <c r="FG9" i="6"/>
  <c r="II9" i="6"/>
  <c r="LK9" i="6"/>
  <c r="FG10" i="6"/>
  <c r="LK10" i="6"/>
  <c r="OM10" i="6"/>
  <c r="AQ11" i="6"/>
  <c r="DS11" i="6"/>
  <c r="GU11" i="6"/>
  <c r="JW11" i="6"/>
  <c r="MY11" i="6"/>
  <c r="CE12" i="6"/>
  <c r="FG12" i="6"/>
  <c r="II12" i="6"/>
  <c r="LK12" i="6"/>
  <c r="OM12" i="6"/>
  <c r="AQ13" i="6"/>
  <c r="DS13" i="6"/>
  <c r="GU13" i="6"/>
  <c r="JW13" i="6"/>
  <c r="MY13" i="6"/>
  <c r="CE14" i="6"/>
  <c r="FG14" i="6"/>
  <c r="II14" i="6"/>
  <c r="LK14" i="6"/>
  <c r="OM14" i="6"/>
  <c r="AQ15" i="6"/>
  <c r="DS15" i="6"/>
  <c r="GU15" i="6"/>
  <c r="JW15" i="6"/>
  <c r="MY15" i="6"/>
  <c r="CE16" i="6"/>
  <c r="FG16" i="6"/>
  <c r="II16" i="6"/>
  <c r="LK16" i="6"/>
  <c r="OM16" i="6"/>
  <c r="AQ17" i="6"/>
  <c r="DS17" i="6"/>
  <c r="GU17" i="6"/>
  <c r="JW17" i="6"/>
  <c r="MY17" i="6"/>
  <c r="CE18" i="6"/>
  <c r="FG18" i="6"/>
  <c r="II18" i="6"/>
  <c r="LK18" i="6"/>
  <c r="OM18" i="6"/>
  <c r="AQ19" i="6"/>
  <c r="DS19" i="6"/>
  <c r="GU19" i="6"/>
  <c r="JW19" i="6"/>
  <c r="MY19" i="6"/>
  <c r="CE20" i="6"/>
  <c r="FG20" i="6"/>
  <c r="II20" i="6"/>
  <c r="LK20" i="6"/>
  <c r="OM20" i="6"/>
  <c r="AQ21" i="6"/>
  <c r="DS21" i="6"/>
  <c r="GU21" i="6"/>
  <c r="JW21" i="6"/>
  <c r="MY21" i="6"/>
  <c r="CE22" i="6"/>
  <c r="FG22" i="6"/>
  <c r="II22" i="6"/>
  <c r="LK22" i="6"/>
  <c r="OM22" i="6"/>
  <c r="AQ23" i="6"/>
  <c r="DS23" i="6"/>
  <c r="GU23" i="6"/>
  <c r="JW23" i="6"/>
  <c r="MY23" i="6"/>
  <c r="CE24" i="6"/>
  <c r="FG24" i="6"/>
  <c r="II24" i="6"/>
  <c r="LK24" i="6"/>
  <c r="OM24" i="6"/>
  <c r="AQ25" i="6"/>
  <c r="DS25" i="6"/>
  <c r="GU25" i="6"/>
  <c r="JW25" i="6"/>
  <c r="MY25" i="6"/>
  <c r="CE26" i="6"/>
  <c r="FG26" i="6"/>
  <c r="II26" i="6"/>
  <c r="LK26" i="6"/>
  <c r="OM26" i="6"/>
  <c r="AQ27" i="6"/>
  <c r="DS27" i="6"/>
  <c r="GU27" i="6"/>
  <c r="JW27" i="6"/>
  <c r="MY27" i="6"/>
  <c r="CE28" i="6"/>
  <c r="FG28" i="6"/>
  <c r="II28" i="6"/>
  <c r="LK28" i="6"/>
  <c r="OM28" i="6"/>
  <c r="AQ29" i="6"/>
  <c r="DS29" i="6"/>
  <c r="GU29" i="6"/>
  <c r="JW29" i="6"/>
  <c r="MY29" i="6"/>
  <c r="CE30" i="6"/>
  <c r="FG30" i="6"/>
  <c r="II30" i="6"/>
  <c r="LK30" i="6"/>
  <c r="OM30" i="6"/>
  <c r="AQ31" i="6"/>
  <c r="DS31" i="6"/>
  <c r="GU31" i="6"/>
  <c r="JW31" i="6"/>
  <c r="MY31" i="6"/>
  <c r="CE32" i="6"/>
  <c r="FG32" i="6"/>
  <c r="II32" i="6"/>
  <c r="LK32" i="6"/>
  <c r="OM32" i="6"/>
  <c r="AQ33" i="6"/>
  <c r="DS33" i="6"/>
  <c r="GU33" i="6"/>
  <c r="JW33" i="6"/>
  <c r="MY33" i="6"/>
  <c r="CE34" i="6"/>
  <c r="FG34" i="6"/>
  <c r="II34" i="6"/>
  <c r="LK34" i="6"/>
  <c r="OM34" i="6"/>
  <c r="AQ35" i="6"/>
  <c r="DS35" i="6"/>
  <c r="GU35" i="6"/>
  <c r="JW35" i="6"/>
  <c r="MY35" i="6"/>
  <c r="CE36" i="6"/>
  <c r="FG36" i="6"/>
  <c r="II36" i="6"/>
  <c r="LK36" i="6"/>
  <c r="OM36" i="6"/>
  <c r="AQ37" i="6"/>
  <c r="DS37" i="6"/>
  <c r="GU37" i="6"/>
  <c r="JW37" i="6"/>
  <c r="MY37" i="6"/>
  <c r="CE38" i="6"/>
  <c r="FG38" i="6"/>
  <c r="II38" i="6"/>
  <c r="LK38" i="6"/>
  <c r="OM38" i="6"/>
  <c r="AQ39" i="6"/>
  <c r="DS39" i="6"/>
  <c r="GU39" i="6"/>
  <c r="JW39" i="6"/>
  <c r="MY39" i="6"/>
  <c r="OM39" i="6"/>
  <c r="AKB8" i="9"/>
  <c r="AGY40" i="9"/>
  <c r="AKB18" i="9"/>
  <c r="AKA40" i="9"/>
  <c r="MY40" i="9"/>
  <c r="JW40" i="9"/>
  <c r="GU40" i="9"/>
  <c r="DS40" i="9"/>
  <c r="AQ40" i="9"/>
  <c r="AKB38" i="9"/>
  <c r="AKB36" i="9"/>
  <c r="AKB34" i="9"/>
  <c r="AKB32" i="9"/>
  <c r="AKB30" i="9"/>
  <c r="AKB28" i="9"/>
  <c r="AKB26" i="9"/>
  <c r="AKB24" i="9"/>
  <c r="AKB22" i="9"/>
  <c r="AKB19" i="9"/>
  <c r="AKB17" i="9"/>
  <c r="II10" i="6"/>
  <c r="CE10" i="6"/>
  <c r="OL40" i="6"/>
  <c r="NY40" i="6"/>
  <c r="NL40" i="6"/>
  <c r="MX40" i="6"/>
  <c r="MK40" i="6"/>
  <c r="LX40" i="6"/>
  <c r="MY6" i="6"/>
  <c r="LJ40" i="6"/>
  <c r="KW40" i="6"/>
  <c r="KJ40" i="6"/>
  <c r="JV40" i="6"/>
  <c r="JI40" i="6"/>
  <c r="IV40" i="6"/>
  <c r="JW6" i="6"/>
  <c r="IH40" i="6"/>
  <c r="HU40" i="6"/>
  <c r="HH40" i="6"/>
  <c r="GT40" i="6"/>
  <c r="GG40" i="6"/>
  <c r="FT40" i="6"/>
  <c r="FF40" i="6"/>
  <c r="ES40" i="6"/>
  <c r="EF40" i="6"/>
  <c r="DR40" i="6"/>
  <c r="DE40" i="6"/>
  <c r="CR40" i="6"/>
  <c r="DS6" i="6"/>
  <c r="CD40" i="6"/>
  <c r="BQ40" i="6"/>
  <c r="BD40" i="6"/>
  <c r="AP40" i="6"/>
  <c r="AC40" i="6"/>
  <c r="AQ6" i="6"/>
  <c r="P40" i="6"/>
  <c r="JV40" i="5"/>
  <c r="JI40" i="5"/>
  <c r="IV40" i="5"/>
  <c r="IH40" i="5"/>
  <c r="HU40" i="5"/>
  <c r="HH40" i="5"/>
  <c r="GT40" i="5"/>
  <c r="GG40" i="5"/>
  <c r="FT40" i="5"/>
  <c r="FF40" i="5"/>
  <c r="ES40" i="5"/>
  <c r="EF40" i="5"/>
  <c r="DR40" i="5"/>
  <c r="DE40" i="5"/>
  <c r="CR40" i="5"/>
  <c r="CD40" i="5"/>
  <c r="BQ40" i="5"/>
  <c r="BD40" i="5"/>
  <c r="AP40" i="5"/>
  <c r="AC40" i="5"/>
  <c r="P40" i="5"/>
  <c r="AP40" i="4"/>
  <c r="AC40" i="4"/>
  <c r="P40" i="4"/>
  <c r="DR40" i="2"/>
  <c r="DS14" i="2"/>
  <c r="DE40" i="2"/>
  <c r="CR40" i="2"/>
  <c r="CD40" i="2"/>
  <c r="BQ40" i="2"/>
  <c r="UQ27" i="5"/>
  <c r="GU11" i="4"/>
  <c r="GU7" i="4"/>
  <c r="GU27" i="4"/>
  <c r="GU23" i="4"/>
  <c r="GU19" i="4"/>
  <c r="DS15" i="4"/>
  <c r="AQ15" i="4"/>
  <c r="OM15" i="2"/>
  <c r="MY15" i="2"/>
  <c r="GU15" i="2"/>
  <c r="LK15" i="2"/>
  <c r="JW15" i="2"/>
  <c r="GU7" i="2"/>
  <c r="FG7" i="2"/>
  <c r="OM11" i="2"/>
  <c r="II6" i="2"/>
  <c r="AKB10" i="9"/>
  <c r="MY10" i="8"/>
  <c r="JW6" i="8"/>
  <c r="GU6" i="8"/>
  <c r="DS6" i="8"/>
  <c r="AQ6" i="8"/>
  <c r="CE6" i="8"/>
  <c r="FG6" i="8"/>
  <c r="II6" i="8"/>
  <c r="LK6" i="8"/>
  <c r="AQ7" i="8"/>
  <c r="CE7" i="8"/>
  <c r="DS7" i="8"/>
  <c r="GU7" i="8"/>
  <c r="JW7" i="8"/>
  <c r="MY7" i="8"/>
  <c r="CE8" i="8"/>
  <c r="FG8" i="8"/>
  <c r="II8" i="8"/>
  <c r="LK8" i="8"/>
  <c r="AQ9" i="8"/>
  <c r="DS9" i="8"/>
  <c r="GU9" i="8"/>
  <c r="JW9" i="8"/>
  <c r="MY9" i="8"/>
  <c r="CE10" i="8"/>
  <c r="FG10" i="8"/>
  <c r="II10" i="8"/>
  <c r="LK10" i="8"/>
  <c r="AQ11" i="8"/>
  <c r="DS11" i="8"/>
  <c r="GU11" i="8"/>
  <c r="JW11" i="8"/>
  <c r="MY11" i="8"/>
  <c r="CE12" i="8"/>
  <c r="FG12" i="8"/>
  <c r="II12" i="8"/>
  <c r="LK12" i="8"/>
  <c r="AQ13" i="8"/>
  <c r="DS13" i="8"/>
  <c r="GU13" i="8"/>
  <c r="JW13" i="8"/>
  <c r="MY13" i="8"/>
  <c r="CE14" i="8"/>
  <c r="FG14" i="8"/>
  <c r="II14" i="8"/>
  <c r="LK14" i="8"/>
  <c r="CE15" i="8"/>
  <c r="FG15" i="8"/>
  <c r="II15" i="8"/>
  <c r="LK15" i="8"/>
  <c r="CE16" i="8"/>
  <c r="FG16" i="8"/>
  <c r="II16" i="8"/>
  <c r="LK16" i="8"/>
  <c r="CE17" i="8"/>
  <c r="FG17" i="8"/>
  <c r="II17" i="8"/>
  <c r="LK17" i="8"/>
  <c r="CE18" i="8"/>
  <c r="FG18" i="8"/>
  <c r="II18" i="8"/>
  <c r="LK18" i="8"/>
  <c r="CE19" i="8"/>
  <c r="FG19" i="8"/>
  <c r="II19" i="8"/>
  <c r="LK19" i="8"/>
  <c r="CE20" i="8"/>
  <c r="FG20" i="8"/>
  <c r="II20" i="8"/>
  <c r="LK20" i="8"/>
  <c r="CE21" i="8"/>
  <c r="FG21" i="8"/>
  <c r="II21" i="8"/>
  <c r="LK21" i="8"/>
  <c r="CE22" i="8"/>
  <c r="FG22" i="8"/>
  <c r="II22" i="8"/>
  <c r="LK22" i="8"/>
  <c r="CE23" i="8"/>
  <c r="FG23" i="8"/>
  <c r="II23" i="8"/>
  <c r="LK23" i="8"/>
  <c r="CE24" i="8"/>
  <c r="FG24" i="8"/>
  <c r="II24" i="8"/>
  <c r="LK24" i="8"/>
  <c r="CE25" i="8"/>
  <c r="FG25" i="8"/>
  <c r="II25" i="8"/>
  <c r="LK25" i="8"/>
  <c r="CE26" i="8"/>
  <c r="FG26" i="8"/>
  <c r="II26" i="8"/>
  <c r="LK26" i="8"/>
  <c r="CE27" i="8"/>
  <c r="FG27" i="8"/>
  <c r="II27" i="8"/>
  <c r="LK27" i="8"/>
  <c r="CE28" i="8"/>
  <c r="FG28" i="8"/>
  <c r="II28" i="8"/>
  <c r="LK28" i="8"/>
  <c r="CE29" i="8"/>
  <c r="FG29" i="8"/>
  <c r="II29" i="8"/>
  <c r="LK29" i="8"/>
  <c r="CE30" i="8"/>
  <c r="FG30" i="8"/>
  <c r="II30" i="8"/>
  <c r="LK30" i="8"/>
  <c r="CE31" i="8"/>
  <c r="FG31" i="8"/>
  <c r="II31" i="8"/>
  <c r="LK31" i="8"/>
  <c r="CE32" i="8"/>
  <c r="FG32" i="8"/>
  <c r="II32" i="8"/>
  <c r="LK32" i="8"/>
  <c r="CE33" i="8"/>
  <c r="FG33" i="8"/>
  <c r="II33" i="8"/>
  <c r="LK33" i="8"/>
  <c r="CE34" i="8"/>
  <c r="FG34" i="8"/>
  <c r="II34" i="8"/>
  <c r="LK34" i="8"/>
  <c r="CE35" i="8"/>
  <c r="FG35" i="8"/>
  <c r="JW35" i="8"/>
  <c r="MY35" i="8"/>
  <c r="CE36" i="8"/>
  <c r="FG36" i="8"/>
  <c r="II36" i="8"/>
  <c r="LK36" i="8"/>
  <c r="CE37" i="8"/>
  <c r="FG37" i="8"/>
  <c r="II37" i="8"/>
  <c r="MY37" i="8"/>
  <c r="CE38" i="8"/>
  <c r="ON38" i="8" s="1"/>
  <c r="FG38" i="8"/>
  <c r="II38" i="8"/>
  <c r="LK38" i="8"/>
  <c r="AQ39" i="8"/>
  <c r="DS39" i="8"/>
  <c r="GU39" i="8"/>
  <c r="JW39" i="8"/>
  <c r="MY39" i="8"/>
  <c r="AQ10" i="6"/>
  <c r="OM6" i="6"/>
  <c r="LK6" i="6"/>
  <c r="II6" i="6"/>
  <c r="GU6" i="6"/>
  <c r="FG6" i="6"/>
  <c r="CE6" i="6"/>
  <c r="AQ6" i="5"/>
  <c r="CE6" i="2"/>
  <c r="CE6" i="5"/>
  <c r="FG6" i="5"/>
  <c r="II6" i="5"/>
  <c r="LK6" i="5"/>
  <c r="UQ6" i="5"/>
  <c r="CE7" i="5"/>
  <c r="II7" i="5"/>
  <c r="JW7" i="5"/>
  <c r="LK7" i="5"/>
  <c r="UQ7" i="5"/>
  <c r="CE8" i="5"/>
  <c r="FG8" i="5"/>
  <c r="II8" i="5"/>
  <c r="LK8" i="5"/>
  <c r="UQ8" i="5"/>
  <c r="DS9" i="5"/>
  <c r="II9" i="5"/>
  <c r="LK9" i="5"/>
  <c r="UQ9" i="5"/>
  <c r="CE10" i="5"/>
  <c r="FG10" i="5"/>
  <c r="II10" i="5"/>
  <c r="LK10" i="5"/>
  <c r="UQ10" i="5"/>
  <c r="FG11" i="5"/>
  <c r="II11" i="5"/>
  <c r="LK11" i="5"/>
  <c r="UQ11" i="5"/>
  <c r="CE12" i="5"/>
  <c r="FG12" i="5"/>
  <c r="II12" i="5"/>
  <c r="LK12" i="5"/>
  <c r="UQ12" i="5"/>
  <c r="CE13" i="5"/>
  <c r="FG13" i="5"/>
  <c r="II13" i="5"/>
  <c r="LK13" i="5"/>
  <c r="UQ13" i="5"/>
  <c r="CE14" i="5"/>
  <c r="FG14" i="5"/>
  <c r="II14" i="5"/>
  <c r="LK14" i="5"/>
  <c r="UQ14" i="5"/>
  <c r="DS15" i="5"/>
  <c r="GU15" i="5"/>
  <c r="JW15" i="5"/>
  <c r="MY15" i="5"/>
  <c r="CE16" i="5"/>
  <c r="FG16" i="5"/>
  <c r="II16" i="5"/>
  <c r="LK16" i="5"/>
  <c r="UQ16" i="5"/>
  <c r="DS17" i="5"/>
  <c r="GU17" i="5"/>
  <c r="JW17" i="5"/>
  <c r="MY17" i="5"/>
  <c r="CE18" i="5"/>
  <c r="FG18" i="5"/>
  <c r="II18" i="5"/>
  <c r="LK18" i="5"/>
  <c r="UQ18" i="5"/>
  <c r="DS19" i="5"/>
  <c r="GU19" i="5"/>
  <c r="JW19" i="5"/>
  <c r="MY19" i="5"/>
  <c r="CE20" i="5"/>
  <c r="FG20" i="5"/>
  <c r="II20" i="5"/>
  <c r="LK20" i="5"/>
  <c r="UQ20" i="5"/>
  <c r="DS21" i="5"/>
  <c r="GU21" i="5"/>
  <c r="JW21" i="5"/>
  <c r="MY21" i="5"/>
  <c r="CE22" i="5"/>
  <c r="FG22" i="5"/>
  <c r="II22" i="5"/>
  <c r="LK22" i="5"/>
  <c r="UQ22" i="5"/>
  <c r="DS23" i="5"/>
  <c r="GU23" i="5"/>
  <c r="JW23" i="5"/>
  <c r="MY23" i="5"/>
  <c r="CE24" i="5"/>
  <c r="FG24" i="5"/>
  <c r="II24" i="5"/>
  <c r="LK24" i="5"/>
  <c r="UQ24" i="5"/>
  <c r="DS25" i="5"/>
  <c r="GU25" i="5"/>
  <c r="JW25" i="5"/>
  <c r="MY25" i="5"/>
  <c r="CE26" i="5"/>
  <c r="FG26" i="5"/>
  <c r="II26" i="5"/>
  <c r="LK26" i="5"/>
  <c r="UQ26" i="5"/>
  <c r="DS27" i="5"/>
  <c r="GU27" i="5"/>
  <c r="JW27" i="5"/>
  <c r="MY27" i="5"/>
  <c r="CE28" i="5"/>
  <c r="FG28" i="5"/>
  <c r="II28" i="5"/>
  <c r="LK28" i="5"/>
  <c r="UQ28" i="5"/>
  <c r="DS29" i="5"/>
  <c r="GU29" i="5"/>
  <c r="JW29" i="5"/>
  <c r="MY29" i="5"/>
  <c r="CE30" i="5"/>
  <c r="FG30" i="5"/>
  <c r="II30" i="5"/>
  <c r="LK30" i="5"/>
  <c r="UQ30" i="5"/>
  <c r="DS31" i="5"/>
  <c r="GU31" i="5"/>
  <c r="JW31" i="5"/>
  <c r="MY31" i="5"/>
  <c r="CE32" i="5"/>
  <c r="FG32" i="5"/>
  <c r="II32" i="5"/>
  <c r="LK32" i="5"/>
  <c r="UQ32" i="5"/>
  <c r="DS33" i="5"/>
  <c r="GU33" i="5"/>
  <c r="JW33" i="5"/>
  <c r="MY33" i="5"/>
  <c r="CE34" i="5"/>
  <c r="FG34" i="5"/>
  <c r="II34" i="5"/>
  <c r="LK34" i="5"/>
  <c r="UQ34" i="5"/>
  <c r="DS35" i="5"/>
  <c r="GU35" i="5"/>
  <c r="JW35" i="5"/>
  <c r="MY35" i="5"/>
  <c r="CE36" i="5"/>
  <c r="FG36" i="5"/>
  <c r="II36" i="5"/>
  <c r="LK36" i="5"/>
  <c r="UQ36" i="5"/>
  <c r="DS37" i="5"/>
  <c r="GU37" i="5"/>
  <c r="JW37" i="5"/>
  <c r="MY37" i="5"/>
  <c r="CE38" i="5"/>
  <c r="FG38" i="5"/>
  <c r="II38" i="5"/>
  <c r="LK38" i="5"/>
  <c r="UQ38" i="5"/>
  <c r="DS39" i="5"/>
  <c r="GU39" i="5"/>
  <c r="LK39" i="5"/>
  <c r="UQ39" i="5"/>
  <c r="OM7" i="5"/>
  <c r="OM9" i="5"/>
  <c r="OM11" i="5"/>
  <c r="OM13" i="5"/>
  <c r="OM15" i="5"/>
  <c r="OM16" i="5"/>
  <c r="OM18" i="5"/>
  <c r="OM20" i="5"/>
  <c r="OM22" i="5"/>
  <c r="OM24" i="5"/>
  <c r="OM25" i="5"/>
  <c r="OM27" i="5"/>
  <c r="OM29" i="5"/>
  <c r="OM31" i="5"/>
  <c r="OM33" i="5"/>
  <c r="OM35" i="5"/>
  <c r="OM37" i="5"/>
  <c r="OM39" i="5"/>
  <c r="QA7" i="5"/>
  <c r="QA9" i="5"/>
  <c r="QA11" i="5"/>
  <c r="QA13" i="5"/>
  <c r="QA15" i="5"/>
  <c r="QA17" i="5"/>
  <c r="QA19" i="5"/>
  <c r="QA21" i="5"/>
  <c r="QA23" i="5"/>
  <c r="QA25" i="5"/>
  <c r="QA27" i="5"/>
  <c r="QA29" i="5"/>
  <c r="QA31" i="5"/>
  <c r="QA33" i="5"/>
  <c r="QA35" i="5"/>
  <c r="QA37" i="5"/>
  <c r="QA39" i="5"/>
  <c r="RO7" i="5"/>
  <c r="RO9" i="5"/>
  <c r="RO11" i="5"/>
  <c r="RO13" i="5"/>
  <c r="RO15" i="5"/>
  <c r="RO17" i="5"/>
  <c r="RO19" i="5"/>
  <c r="RO21" i="5"/>
  <c r="RO23" i="5"/>
  <c r="RO25" i="5"/>
  <c r="RO27" i="5"/>
  <c r="RO29" i="5"/>
  <c r="RO31" i="5"/>
  <c r="RO33" i="5"/>
  <c r="RO35" i="5"/>
  <c r="RO37" i="5"/>
  <c r="RO39" i="5"/>
  <c r="TC7" i="5"/>
  <c r="TC9" i="5"/>
  <c r="TC11" i="5"/>
  <c r="TC13" i="5"/>
  <c r="TC15" i="5"/>
  <c r="TC17" i="5"/>
  <c r="TC19" i="5"/>
  <c r="TC21" i="5"/>
  <c r="TC23" i="5"/>
  <c r="TC25" i="5"/>
  <c r="TC27" i="5"/>
  <c r="TC29" i="5"/>
  <c r="TC31" i="5"/>
  <c r="TC33" i="5"/>
  <c r="TC35" i="5"/>
  <c r="TC37" i="5"/>
  <c r="TC39" i="5"/>
  <c r="TC38" i="5"/>
  <c r="DS39" i="4"/>
  <c r="GU39" i="4"/>
  <c r="DS6" i="4"/>
  <c r="GU6" i="4"/>
  <c r="CE7" i="4"/>
  <c r="FG7" i="4"/>
  <c r="AQ8" i="4"/>
  <c r="DS8" i="4"/>
  <c r="GU8" i="4"/>
  <c r="CE9" i="4"/>
  <c r="FG9" i="4"/>
  <c r="AQ10" i="4"/>
  <c r="DS10" i="4"/>
  <c r="GU10" i="4"/>
  <c r="CE11" i="4"/>
  <c r="FG11" i="4"/>
  <c r="AQ12" i="4"/>
  <c r="DS12" i="4"/>
  <c r="GU12" i="4"/>
  <c r="CE13" i="4"/>
  <c r="FG13" i="4"/>
  <c r="AQ14" i="4"/>
  <c r="DS14" i="4"/>
  <c r="GU14" i="4"/>
  <c r="CE15" i="4"/>
  <c r="FG15" i="4"/>
  <c r="AQ16" i="4"/>
  <c r="DS16" i="4"/>
  <c r="GU16" i="4"/>
  <c r="CE17" i="4"/>
  <c r="FG17" i="4"/>
  <c r="AQ18" i="4"/>
  <c r="DS18" i="4"/>
  <c r="GU18" i="4"/>
  <c r="CE19" i="4"/>
  <c r="FG19" i="4"/>
  <c r="AQ20" i="4"/>
  <c r="DS20" i="4"/>
  <c r="GU20" i="4"/>
  <c r="CE21" i="4"/>
  <c r="FG21" i="4"/>
  <c r="AQ22" i="4"/>
  <c r="DS22" i="4"/>
  <c r="GU22" i="4"/>
  <c r="CE23" i="4"/>
  <c r="FG23" i="4"/>
  <c r="AQ24" i="4"/>
  <c r="DS24" i="4"/>
  <c r="GU24" i="4"/>
  <c r="CE25" i="4"/>
  <c r="FG25" i="4"/>
  <c r="AQ26" i="4"/>
  <c r="DS26" i="4"/>
  <c r="GU26" i="4"/>
  <c r="CE27" i="4"/>
  <c r="FG27" i="4"/>
  <c r="AQ28" i="4"/>
  <c r="DS28" i="4"/>
  <c r="GU28" i="4"/>
  <c r="CE29" i="4"/>
  <c r="FG29" i="4"/>
  <c r="AQ30" i="4"/>
  <c r="DS30" i="4"/>
  <c r="GU30" i="4"/>
  <c r="CE31" i="4"/>
  <c r="FG31" i="4"/>
  <c r="AQ32" i="4"/>
  <c r="DS32" i="4"/>
  <c r="GU32" i="4"/>
  <c r="CE33" i="4"/>
  <c r="FG33" i="4"/>
  <c r="AQ34" i="4"/>
  <c r="DS34" i="4"/>
  <c r="GU34" i="4"/>
  <c r="CE35" i="4"/>
  <c r="FG35" i="4"/>
  <c r="AQ36" i="4"/>
  <c r="DS36" i="4"/>
  <c r="GU36" i="4"/>
  <c r="CE37" i="4"/>
  <c r="FG37" i="4"/>
  <c r="AQ38" i="4"/>
  <c r="DS38" i="4"/>
  <c r="GU38" i="4"/>
  <c r="FG39" i="4"/>
  <c r="AQ6" i="2"/>
  <c r="CE7" i="2"/>
  <c r="CE9" i="2"/>
  <c r="CE11" i="2"/>
  <c r="CE13" i="2"/>
  <c r="CE15" i="2"/>
  <c r="CE17" i="2"/>
  <c r="CE19" i="2"/>
  <c r="CE21" i="2"/>
  <c r="CE23" i="2"/>
  <c r="CE25" i="2"/>
  <c r="CE27" i="2"/>
  <c r="CE29" i="2"/>
  <c r="CE31" i="2"/>
  <c r="CE33" i="2"/>
  <c r="CE35" i="2"/>
  <c r="CE37" i="2"/>
  <c r="CE39" i="2"/>
  <c r="PA39" i="2" s="1"/>
  <c r="DS6" i="2"/>
  <c r="DS9" i="2"/>
  <c r="DS11" i="2"/>
  <c r="DS13" i="2"/>
  <c r="DS15" i="2"/>
  <c r="DS17" i="2"/>
  <c r="DS19" i="2"/>
  <c r="DS21" i="2"/>
  <c r="DS23" i="2"/>
  <c r="DS25" i="2"/>
  <c r="DS27" i="2"/>
  <c r="DS29" i="2"/>
  <c r="DS31" i="2"/>
  <c r="DS33" i="2"/>
  <c r="DS35" i="2"/>
  <c r="DS37" i="2"/>
  <c r="DS39" i="2"/>
  <c r="GU42" i="2" l="1"/>
  <c r="FT47" i="2"/>
  <c r="GU47" i="2" s="1"/>
  <c r="GU48" i="2" s="1"/>
  <c r="ON37" i="8"/>
  <c r="MY42" i="2"/>
  <c r="LX47" i="2"/>
  <c r="MY47" i="2" s="1"/>
  <c r="MY48" i="2" s="1"/>
  <c r="LK42" i="2"/>
  <c r="KJ47" i="2"/>
  <c r="LK47" i="2" s="1"/>
  <c r="LK48" i="2" s="1"/>
  <c r="JW42" i="2"/>
  <c r="IV47" i="2"/>
  <c r="JW47" i="2" s="1"/>
  <c r="JW48" i="2" s="1"/>
  <c r="II42" i="2"/>
  <c r="HH47" i="2"/>
  <c r="II47" i="2" s="1"/>
  <c r="II48" i="2" s="1"/>
  <c r="ON39" i="8"/>
  <c r="OM47" i="2"/>
  <c r="OM48" i="2" s="1"/>
  <c r="XS39" i="5"/>
  <c r="RB38" i="6"/>
  <c r="D47" i="2"/>
  <c r="P42" i="2"/>
  <c r="P47" i="2" s="1"/>
  <c r="OM42" i="2"/>
  <c r="FG42" i="2"/>
  <c r="EF47" i="2"/>
  <c r="FG47" i="2" s="1"/>
  <c r="FG48" i="2" s="1"/>
  <c r="DS42" i="2"/>
  <c r="CR47" i="2"/>
  <c r="DS47" i="2" s="1"/>
  <c r="DS48" i="2" s="1"/>
  <c r="CE42" i="2"/>
  <c r="BD47" i="2"/>
  <c r="CE47" i="2" s="1"/>
  <c r="CE48" i="2" s="1"/>
  <c r="RB6" i="6"/>
  <c r="RB39" i="6"/>
  <c r="ON35" i="8"/>
  <c r="ON36" i="8"/>
  <c r="ON12" i="8"/>
  <c r="ON8" i="8"/>
  <c r="ON13" i="8"/>
  <c r="ON34" i="8"/>
  <c r="ON33" i="8"/>
  <c r="ON32" i="8"/>
  <c r="ON31" i="8"/>
  <c r="ON30" i="8"/>
  <c r="ON29" i="8"/>
  <c r="ON28" i="8"/>
  <c r="ON27" i="8"/>
  <c r="ON26" i="8"/>
  <c r="ON25" i="8"/>
  <c r="ON24" i="8"/>
  <c r="ON23" i="8"/>
  <c r="ON22" i="8"/>
  <c r="ON21" i="8"/>
  <c r="ON20" i="8"/>
  <c r="ON19" i="8"/>
  <c r="ON18" i="8"/>
  <c r="ON17" i="8"/>
  <c r="ON16" i="8"/>
  <c r="ON15" i="8"/>
  <c r="ON14" i="8"/>
  <c r="ON9" i="8"/>
  <c r="ON11" i="8"/>
  <c r="ON10" i="8"/>
  <c r="ON7" i="8"/>
  <c r="XS38" i="5"/>
  <c r="HI6" i="4"/>
  <c r="PA38" i="2"/>
  <c r="PA37" i="2"/>
  <c r="PA33" i="2"/>
  <c r="PA29" i="2"/>
  <c r="PA25" i="2"/>
  <c r="PA21" i="2"/>
  <c r="PA13" i="2"/>
  <c r="PA8" i="2"/>
  <c r="E3" i="3" s="1"/>
  <c r="PA36" i="2"/>
  <c r="PA32" i="2"/>
  <c r="PA28" i="2"/>
  <c r="PA24" i="2"/>
  <c r="PA20" i="2"/>
  <c r="PA16" i="2"/>
  <c r="E4" i="3" s="1"/>
  <c r="PA12" i="2"/>
  <c r="PA35" i="2"/>
  <c r="PA27" i="2"/>
  <c r="PA23" i="2"/>
  <c r="PA17" i="2"/>
  <c r="F4" i="3" s="1"/>
  <c r="PA9" i="2"/>
  <c r="F3" i="3" s="1"/>
  <c r="F43" i="3" s="1"/>
  <c r="PA11" i="2"/>
  <c r="PA14" i="2"/>
  <c r="C4" i="3" s="1"/>
  <c r="PA34" i="2"/>
  <c r="PA30" i="2"/>
  <c r="PA26" i="2"/>
  <c r="PA22" i="2"/>
  <c r="PA18" i="2"/>
  <c r="PA10" i="2"/>
  <c r="PA19" i="2"/>
  <c r="PA31" i="2"/>
  <c r="ON6" i="8"/>
  <c r="RB37" i="6"/>
  <c r="RB36" i="6"/>
  <c r="RB34" i="6"/>
  <c r="RB32" i="6"/>
  <c r="RB30" i="6"/>
  <c r="RB28" i="6"/>
  <c r="RB26" i="6"/>
  <c r="RB24" i="6"/>
  <c r="RB22" i="6"/>
  <c r="RB20" i="6"/>
  <c r="RB18" i="6"/>
  <c r="RB16" i="6"/>
  <c r="RB14" i="6"/>
  <c r="RB12" i="6"/>
  <c r="RB9" i="6"/>
  <c r="RB7" i="6"/>
  <c r="RB15" i="6"/>
  <c r="RB13" i="6"/>
  <c r="RB11" i="6"/>
  <c r="RB33" i="6"/>
  <c r="RB31" i="6"/>
  <c r="RB29" i="6"/>
  <c r="RB27" i="6"/>
  <c r="RB25" i="6"/>
  <c r="RB23" i="6"/>
  <c r="RB21" i="6"/>
  <c r="RB19" i="6"/>
  <c r="RB17" i="6"/>
  <c r="RB8" i="6"/>
  <c r="RB35" i="6"/>
  <c r="XS11" i="5"/>
  <c r="XS35" i="5"/>
  <c r="XS31" i="5"/>
  <c r="XS37" i="5"/>
  <c r="XS21" i="5"/>
  <c r="XS19" i="5"/>
  <c r="XS17" i="5"/>
  <c r="XS15" i="5"/>
  <c r="XS9" i="5"/>
  <c r="XS33" i="5"/>
  <c r="XS29" i="5"/>
  <c r="XS25" i="5"/>
  <c r="XS20" i="5"/>
  <c r="XS18" i="5"/>
  <c r="XS16" i="5"/>
  <c r="XS14" i="5"/>
  <c r="XS12" i="5"/>
  <c r="XS10" i="5"/>
  <c r="XS8" i="5"/>
  <c r="XS6" i="5"/>
  <c r="XS36" i="5"/>
  <c r="XS34" i="5"/>
  <c r="XS32" i="5"/>
  <c r="XS30" i="5"/>
  <c r="XS28" i="5"/>
  <c r="XS26" i="5"/>
  <c r="XS24" i="5"/>
  <c r="XS13" i="5"/>
  <c r="XS7" i="5"/>
  <c r="XS27" i="5"/>
  <c r="UQ40" i="5"/>
  <c r="RO40" i="5"/>
  <c r="PA15" i="2"/>
  <c r="D4" i="3" s="1"/>
  <c r="PA7" i="2"/>
  <c r="D3" i="3" s="1"/>
  <c r="DS40" i="8"/>
  <c r="TC40" i="5"/>
  <c r="QA40" i="5"/>
  <c r="OM40" i="5"/>
  <c r="FG40" i="4"/>
  <c r="DS40" i="4"/>
  <c r="MY40" i="8"/>
  <c r="JW40" i="8"/>
  <c r="XS23" i="5"/>
  <c r="LK40" i="8"/>
  <c r="II40" i="8"/>
  <c r="GU40" i="8"/>
  <c r="CE40" i="8"/>
  <c r="RB10" i="6"/>
  <c r="XS22" i="5"/>
  <c r="LK40" i="5"/>
  <c r="CE40" i="5"/>
  <c r="FG40" i="5"/>
  <c r="FG40" i="8"/>
  <c r="AQ40" i="5"/>
  <c r="AQ40" i="8"/>
  <c r="II40" i="5"/>
  <c r="DS40" i="2"/>
  <c r="MY40" i="5"/>
  <c r="GU40" i="4"/>
  <c r="CE40" i="4"/>
  <c r="HI36" i="4"/>
  <c r="HI32" i="4"/>
  <c r="HI28" i="4"/>
  <c r="HI24" i="4"/>
  <c r="HI20" i="4"/>
  <c r="HI16" i="4"/>
  <c r="HI12" i="4"/>
  <c r="HI8" i="4"/>
  <c r="HI15" i="4"/>
  <c r="AKB40" i="9"/>
  <c r="HI39" i="4"/>
  <c r="HI35" i="4"/>
  <c r="HI31" i="4"/>
  <c r="HI25" i="4"/>
  <c r="HI23" i="4"/>
  <c r="HI17" i="4"/>
  <c r="HI13" i="4"/>
  <c r="HI11" i="4"/>
  <c r="OM40" i="2"/>
  <c r="MY40" i="2"/>
  <c r="LK40" i="2"/>
  <c r="JW40" i="2"/>
  <c r="II40" i="2"/>
  <c r="FG40" i="2"/>
  <c r="HI38" i="4"/>
  <c r="HI34" i="4"/>
  <c r="HI30" i="4"/>
  <c r="HI26" i="4"/>
  <c r="HI22" i="4"/>
  <c r="HI18" i="4"/>
  <c r="HI14" i="4"/>
  <c r="HI10" i="4"/>
  <c r="CE40" i="2"/>
  <c r="DS40" i="5"/>
  <c r="GU40" i="5"/>
  <c r="JW40" i="5"/>
  <c r="HI37" i="4"/>
  <c r="HI33" i="4"/>
  <c r="HI29" i="4"/>
  <c r="HI27" i="4"/>
  <c r="HI21" i="4"/>
  <c r="HI19" i="4"/>
  <c r="HI9" i="4"/>
  <c r="HI7" i="4"/>
  <c r="GU40" i="2"/>
  <c r="OM40" i="6"/>
  <c r="MY40" i="6"/>
  <c r="LK40" i="6"/>
  <c r="JW40" i="6"/>
  <c r="II40" i="6"/>
  <c r="GU40" i="6"/>
  <c r="FG40" i="6"/>
  <c r="DS40" i="6"/>
  <c r="CE40" i="6"/>
  <c r="AQ40" i="6"/>
  <c r="AQ40" i="4"/>
  <c r="AQ40" i="2"/>
  <c r="E43" i="3" l="1"/>
  <c r="AQ42" i="2"/>
  <c r="PA42" i="2" s="1"/>
  <c r="AQ47" i="2"/>
  <c r="G3" i="3"/>
  <c r="D43" i="3"/>
  <c r="G4" i="3"/>
  <c r="BK4" i="3" s="1"/>
  <c r="C43" i="3"/>
  <c r="PA40" i="2"/>
  <c r="RB40" i="6"/>
  <c r="ON40" i="8"/>
  <c r="XS40" i="5"/>
  <c r="HI40" i="4"/>
  <c r="PA47" i="2" l="1"/>
  <c r="PA48" i="2" s="1"/>
  <c r="AQ48" i="2"/>
  <c r="BK3" i="3"/>
  <c r="BK43" i="3" s="1"/>
  <c r="G43" i="3"/>
  <c r="G49" i="3" s="1"/>
  <c r="BL48" i="3" l="1"/>
  <c r="BK4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D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ต.ค.61 นายอภิชัย ห้วยศรีจันทร์ 26,250.- จ้าง 1 ต.ค.61</t>
        </r>
      </text>
    </comment>
    <comment ref="J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Q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ต.ค.61 นายอภิชัย ห้วยศรีจันทร์ 26,250.- จ้าง 1 ต.ค.61</t>
        </r>
      </text>
    </comment>
    <comment ref="AJ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X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Z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J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นายวุฒิศักดิ์ เจริญวงศ์มิตร
ค่าจ้าง 12,600.-
ประกันสังคม 630.-</t>
        </r>
      </text>
    </comment>
    <comment ref="FN7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W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นายวุฒิศักดิ์ เจริญวงศ์มิตร
ค่าจ้าง 12,600.-
ประกันสังคม 630.-</t>
        </r>
      </text>
    </comment>
    <comment ref="GN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X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นายศักรนันทน์ ปรีชาพาณิชยการ
ค่าจ้าง 20,125.-
ประกันสังคม 750.-</t>
        </r>
      </text>
    </comment>
    <comment ref="HB7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HK7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นายศักรนันทน์ ปรีชาพาณิชยการ
ค่าจ้าง 20,125.-
ประกันสังคม 750.-</t>
        </r>
      </text>
    </comment>
    <comment ref="IB7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S10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62 = 960.-</t>
        </r>
      </text>
    </comment>
    <comment ref="NF1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S11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62 = 13,919.52</t>
        </r>
      </text>
    </comment>
    <comment ref="OF11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L1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X1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61.34</t>
        </r>
      </text>
    </comment>
    <comment ref="DL14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L15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30.67</t>
        </r>
      </text>
    </comment>
    <comment ref="FN1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Z1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122.68</t>
        </r>
      </text>
    </comment>
    <comment ref="GN15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M15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นางสาวณัฐปภัสร์ ฤทธิ์วัฒนวานิช
ตกเบิก ธ.ค.61
ค่าจ้าง 29,467.74
ประกันสังคม 750.-</t>
        </r>
      </text>
    </comment>
    <comment ref="IP15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Z15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นางสาวณัฐปภัสร์ ฤทธิ์วัฒนวานิช
ตกเบิก ธ.ค.61
ค่าจ้าง 29,467.74
ประกันสังคม 750.-</t>
        </r>
      </text>
    </comment>
    <comment ref="JB15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153.35</t>
        </r>
      </text>
    </comment>
    <comment ref="JP15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KD15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KP15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122.68</t>
        </r>
      </text>
    </comment>
    <comment ref="LD15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O15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ว่าที่ร้อยตรีหญิงจิระวดี ตั้งสกุลทองปาลี
ตกเบิก ธ.ค.61
ค่าจ้าง 24,556.45
ประกันสังคม 750.-</t>
        </r>
      </text>
    </comment>
    <comment ref="LR1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W15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นางสาวชัชชุดา จิระนันทิพร
ตกเบิก 19 ก.ค.62-30 ก.ย.62
ค่าจ้าง 5,927.42
ประกันสังคม 179.-</t>
        </r>
      </text>
    </comment>
    <comment ref="MB15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ว่าที่ร้อยตรีหญิงจิระวดี ตั้งสกุลทองปาลี
ตกเบิก ธ.ค.61
ค่าจ้าง 24,556.45
ประกันสังคม 750.-</t>
        </r>
      </text>
    </comment>
    <comment ref="MD15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153.35</t>
        </r>
      </text>
    </comment>
    <comment ref="MJ15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นางสาวชัชชุดา จิระนันทิพร
ตกเบิก 19 ก.ค.62-30 ก.ย.62
ค่าจ้าง 5,927.42
ประกันสังคม 179.-</t>
        </r>
      </text>
    </comment>
    <comment ref="MR15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F19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R19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306.67</t>
        </r>
      </text>
    </comment>
    <comment ref="OF19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G30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OF30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945.-</t>
        </r>
      </text>
    </comment>
    <comment ref="OG30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OS30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นางสาวพัชราภรณ์ ชัยพัฒนเมธี
ตกเบิก มิ.ย.60-มิ.ย.61 = 12,693.33
เดือน ก.ค.61-ก.ย.61 = 16,800.-</t>
        </r>
      </text>
    </comment>
    <comment ref="MZ31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ตกเบิก นางสาวสุภาวดี มณีวงศ์
เดือน ส.ค.61 = 15,241.94
เดือน ก.ย.61 = 26,250.-</t>
        </r>
      </text>
    </comment>
    <comment ref="NG31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NM31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นางสาวสุภาวดี มณีวงศ์
เดือน ส.ค.61 = 750.-
เดือน ก.ย.61 = 750.-</t>
        </r>
      </text>
    </comment>
    <comment ref="OG31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NG34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OG34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NG35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  <comment ref="OG35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ต.ค.61-มีงค.62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เลื่อนค่าจ้างพนักงาน 2,914,735.56
ตั้งแต่เดือน ต.ค.60-มี.ค.61
ตามคำสั่งมหาวิทยาลัยเทคโนโลยีราชมงคลรัตนโกสินทร์
ที่ 0253/2561 สั่ง ณ วันที่ 13 มี.ค.61
เรื่อง เลื่อนค่าจ้างพนักงานมหาวิทยาลัย
ตั้งแต่ 1 ต.ค.60 เป็นต้นไป</t>
        </r>
      </text>
    </comment>
    <comment ref="K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ปรับเงินชดเชยพนักงาน 3,164,881.23
ตั้งแต่เดือน ม.ค.61-เม.ย.61
ตามคำสั่งมหาวิทยาลัยเทคโนโลยีราชมงคลรัตนโกสินทร์
ที่ 0457/2561 สั่ง ณ วันที่ 20 เม.ย.61
เรื่อง การปรับเงินชดเชยของพนักงานมหาวิทยาลัย
ตั้งแต่ 1 ม.ค.61 เป็นต้นไป</t>
        </r>
      </text>
    </comment>
    <comment ref="K3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ค่าจ้าง 125,713.29
ประกันสังคม 16.-
กองทุนเงินทดแทน 7.02
กองทุนสำรองเลี้ยงชีพ 3,575.-</t>
        </r>
      </text>
    </comment>
    <comment ref="V34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
ปี 61 = 3,657.-
ปี 62 = 58,056.-</t>
        </r>
      </text>
    </comment>
    <comment ref="X3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ค่าจ้าง 125,713.29
ประกันสังคม 16.-
กองทุนเงินทดแทน 7.02
กองทุนสำรองเลี้ยงชีพ 3,575.-</t>
        </r>
      </text>
    </comment>
    <comment ref="AK34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ค่าจ้าง 125,713.29
ประกันสังคม 16.-
กองทุนเงินทดแทน 7.02
กองทุนสำรองเลี้ยงชีพ 3,575.-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M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1. ตกเบิก ประจำตำแหน่ง ตั้งแต่ 6 มิ.ย.61-30 ก.ย.61 ราย นายคณาวุฒิ เจียมวัฒนพงศ์ = 21,466.67
2. ตกเบิก ประจำตำแหน่ง ตั้งแต่ 1 ต.ค.61-30 พ.ย.61 ราย นายคณาวุฒิ เจียมวัฒนพงศ์ = 11,200.-</t>
        </r>
      </text>
    </comment>
    <comment ref="R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ค่าจ้างพนักงาน เดือน ธ.ค.61 นางสาวนิติราภรณ์ ศรีกันต์ จ้าง 3 ธ.ค.61</t>
        </r>
      </text>
    </comment>
    <comment ref="AG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ค่าจ้าพนักงาน ตั้งแต่ ต.ค.61-มี.ค.62</t>
        </r>
      </text>
    </comment>
    <comment ref="AH5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ค่าจ้าพนักงาน ตั้งแต่ ต.ค.61-มี.ค.62</t>
        </r>
      </text>
    </comment>
    <comment ref="BA5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ประจำตำแหน่ง ตั้งแต่ 20 ธ.ค.60-31 ส.ค.62 นายรังสรรค์ ร่วมนิคม = 114,167.74</t>
        </r>
      </text>
    </comment>
    <comment ref="AB6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สมทบกองทุนทดเทน ปี 61 = 92.01</t>
        </r>
      </text>
    </comment>
    <comment ref="AC6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กองทุนเงินทดแทน ปี 61 = 858.76
ตกเบิก ค่าจ้างพนักงาน เดือน ก.พ.62 = 27,000.-</t>
        </r>
      </text>
    </comment>
    <comment ref="AG6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ค่าจ้าพนักงาน ตั้งแต่ ต.ค.61-มี.ค.62
กองทุนเงินทดแทน ปี 62 = 1,440.-</t>
        </r>
      </text>
    </comment>
    <comment ref="AH6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ค่าจ้าพนักงาน ตั้งแต่ ต.ค.61-มี.ค.62
กองทุนเงินทดแทน ปี 62 = 13,880.-</t>
        </r>
      </text>
    </comment>
    <comment ref="I7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 = 17,650.-
 นายเอนก สอหวัง (5-30 พ.ย.61)</t>
        </r>
      </text>
    </comment>
    <comment ref="N7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เงินสมทบกองทุนเงินทดแทน ปี 61 ของพนักงาน 140.03</t>
        </r>
      </text>
    </comment>
    <comment ref="AH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ค่าจ้าพนักงาน ตั้งแต่ ต.ค.61-มี.ค.62</t>
        </r>
      </text>
    </comment>
    <comment ref="AM7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ค่าจ้างพนักงาน เดือน ต.ค.61-มี.ค.62 = 182,832.-</t>
        </r>
      </text>
    </comment>
    <comment ref="AC3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ประจำตำแหน่ง ตั้งแต่ 1 มิ.ย.61-30 ก.ย.61 นายตามใจ อริวุทธิโยธิน 89,600.- นางสาวปาริชาติ จันทร์งาม 47,148.39
ตกเบิก ประจำตำแหน่ง เดือน ต.ค.61-ธ.ค.61 นายตามใจ อริวุทธิโยธิน 16,800.- นางสาวปาริชาติ จันทร์งาม 16,800.-
ตกเบิก ประจำตำแหน่ง เดือน ม.ค.62-มี.ค.62 นายตามใจ อริวุทธิโยธิน 16,800.- นางสาวปาริชาติ จันทร์งาม 16,800.-</t>
        </r>
      </text>
    </comment>
    <comment ref="BB38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ประจำตำแหน่ง ตั้งแต่ 12 มี.ค.61-31 มี.ค.62 นายอนุชิต ฮันแย็ก = 70,812.90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S1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ก.ย.61 เงินกองทุนสำรองเลี้ยงชีพ 947.-</t>
        </r>
      </text>
    </comment>
    <comment ref="EA3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นายปริญญา กวีกิจบัณฑิต
ตกเบิก 7 มี.ค62-30 มิ.ย.62
ค่าจ้าง 3,768.39
กองทุนสำรองเลี้ยงชีพ 114.-</t>
        </r>
      </text>
    </comment>
    <comment ref="EC3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นายปริญญา กวีกิจบัณฑิต
ตกเบิก 7 มี.ค62-30 มิ.ย.62
ค่าจ้าง 3,768.39
กองทุนสำรองเลี้ยงชีพ 114.-</t>
        </r>
      </text>
    </comment>
    <comment ref="DA6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
นางศศิกานต์ คล้ายนิล 
ตกเบิก ต.ค.61-มี.ค.62 =0.52</t>
        </r>
      </text>
    </comment>
    <comment ref="M67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ก.ย.61 กองทุนสำรองเลี้ยงชีพ 788.-</t>
        </r>
      </text>
    </comment>
    <comment ref="DD78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นางสาวนลินี พิมพ์สวัสดิ์
ตกเบิก ประกันสังคม ต.ค.61-มี.ค.62 = 16.-</t>
        </r>
      </text>
    </comment>
    <comment ref="DD93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นางสาวภัทรานาฐ์ ไกรระเบียบ
ตกเบิก สมทบเงินกองทุนทดแทน ปี 61
เดือน ต.ค.61-มี.ค.62 = 7.02</t>
        </r>
      </text>
    </comment>
    <comment ref="DD98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นางสาวพิชชาฯ สุขจินดา
ตกเบิก สมทบเงินกองทุนทดแทน ปี 61
เดือน ต.ค.61-มี.ค.62 = 2.60</t>
        </r>
      </text>
    </comment>
    <comment ref="CO148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นายธนภัทร สีสดใส
ตกเบิก มี.ค.62 
กองทุนสำรองเลี้ยงชีพ 945.-</t>
        </r>
      </text>
    </comment>
    <comment ref="Q150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ส.ค.61-ก.ย.61 ค่าจ่าง 41,491.94
ประกันสังคม 1,500.-</t>
        </r>
      </text>
    </comment>
    <comment ref="R150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ส.ค.61-ก.ย.61 ค่าจ่าง 41,491.94
ประกันสังคม 1,500.-</t>
        </r>
      </text>
    </comment>
    <comment ref="CE205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นางสาวปาริชาติ จันทร์งาม
ตกเบิก มิ.ย.60-มิ.ย.61 = 30,348.39
เดือน ก.ค.61-ก.ย.61 = 16,800.-
ตกเบิก ต.ค.61-ธ.ค.61 = 16,800.-
ตกเบิก ม.ค.62-มี.ค.62 = 16,800.-</t>
        </r>
      </text>
    </comment>
    <comment ref="ET212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นายอนุชิต ฮันเย็ก
ตกเบิก 12 มี.ค.61-30 มิ.ย.62
ประจำตำแหน่ง 87,612.90</t>
        </r>
      </text>
    </comment>
    <comment ref="CE22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นายตามใจ อวิรุทธิโยธิน
ตกเบิก มิ.ย.60-มิ.ย.61 = 72,800.-
เดือน ก.ค.61-ก.ย.61 = 16,800.-
ตกเบิก ต.ค.61-ธ.ค.61 = 16,800.-
ตกเบิก ม.ค.62-มี.ค.62 = 16,800.-</t>
        </r>
      </text>
    </comment>
    <comment ref="BY228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นางสาวพัชราภรณ์ ชัยพัฒนเมธี
ตกเบิก มิ.ย.60-มิ.ย.61 = 12,693.33
เดือน ก.ค.61-ก.ย.61 = 16,800.-
ตกบิก ต.ค.61-ธ.ค.61 = 16,800.-
ตกเบิก ม.ค.62-มี.ค.62 = 16,800.-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CL5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เลื่อนค่าจ้างพนักงาน 819,529.-
ตั้งแต่เดือน ต.ค.60-มี.ค.61
ตามคำสั่งมหาวิทยาลัยเทคโนโลยีราชมงคลรัตนโกสินทร์
ที่ 0253/2561 สั่ง ณ วันที่ 13 มี.ค.61
เรื่อง เลื่อนค่าจ้างพนักงานมหาวิทยาลัย
ตั้งแต่ 1 ต.ค.60 เป็นต้นไป</t>
        </r>
      </text>
    </comment>
    <comment ref="CN5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เลื่อนค่าจ้างพนักงาน 819,529.-
ตั้งแต่เดือน ต.ค.60-มี.ค.61
ตามคำสั่งมหาวิทยาลัยเทคโนโลยีราชมงคลรัตนโกสินทร์
ที่ 0253/2561 สั่ง ณ วันที่ 13 มี.ค.61
เรื่อง เลื่อนค่าจ้างพนักงานมหาวิทยาลัย
ตั้งแต่ 1 ต.ค.60 เป็นต้นไป</t>
        </r>
      </text>
    </comment>
    <comment ref="CS5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1.ตกเบิก เดือน ม.ค.61-มิ.ย.61 349,722.-
คำสั่งที่ 0456/2561 ลว.20 เม.ย.61
เรื่อง การปรับอัตราค่าจ้างแรกบรรุจพนักงานมหาวิทยาลัย
2.ตกเบิก เดือน ม.ค.61-มิ.ย.61 1,365,957.-
คำสั่งที่ 0457/2561 ลว.20 เม.ย.61
เรื่อง การปรับเงินชดเชยของพนักงานมหาวิทยาลัย</t>
        </r>
      </text>
    </comment>
    <comment ref="CY5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1.ตกเบิก เดือน ม.ค.61-มิ.ย.61 349,722.-
คำสั่งที่ 0456/2561 ลว.20 เม.ย.61
เรื่อง การปรับอัตราค่าจ้างแรกบรรุจพนักงานมหาวิทยาลัย
2.ตกเบิก เดือน ม.ค.61-มิ.ย.61 1,365,957.-
คำสั่งที่ 0457/2561 ลว.20 เม.ย.61
เรื่อง การปรับเงินชดเชยของพนักงานมหาวิทยาลัย</t>
        </r>
      </text>
    </comment>
    <comment ref="AR66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AS66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AR6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AS67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AZ10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กองทุน 
เดือน พ.ย.60 = 828.-
เดือน ธ.ค.60 = 828.-</t>
        </r>
      </text>
    </comment>
    <comment ref="AR12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AS123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ธ.ค.60
ค่าจ้าง 10,274.19
ปกส 514.-</t>
        </r>
      </text>
    </comment>
    <comment ref="EG144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
เดือน พ.ค.61 = 10,669.29
เดือน มิ.ย.61 = 32,250.-</t>
        </r>
      </text>
    </comment>
    <comment ref="EH144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
เดือน พ.ค.61 = 10,669.29
เดือน มิ.ย.61 = 32,250.-</t>
        </r>
      </text>
    </comment>
    <comment ref="EM145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 xml:space="preserve">Wanlaya:
</t>
        </r>
        <r>
          <rPr>
            <sz val="9"/>
            <color indexed="81"/>
            <rFont val="Tahoma"/>
            <family val="2"/>
          </rPr>
          <t>ตกเบิก
เดือน เม.ย.61 = 15,435.-
เดือน พ.ค.61 = 32,250.-
เดือน มิ.ย.61 = 32,250.-</t>
        </r>
      </text>
    </comment>
    <comment ref="EN145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 xml:space="preserve">Wanlaya:
</t>
        </r>
        <r>
          <rPr>
            <sz val="9"/>
            <color indexed="81"/>
            <rFont val="Tahoma"/>
            <family val="2"/>
          </rPr>
          <t>ตกเบิก
เดือน เม.ย.61 = 15,435.-
เดือน พ.ค.61 = 32,250.-
เดือน มิ.ย.61 = 32,250.-</t>
        </r>
      </text>
    </comment>
    <comment ref="BK205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ประจำตำแหน่ง
เดือน ต.ค.60 = 5,600.-
เดือน พ.ย.60 = 5,600.-
เดือน ธ.ค.60 = 5,600.-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G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นางสาวนิติราภรณ์ ศรีกันต์
ตกเบิก เดือน ธ.ค.61
ค่าจ้าง 24,556.45
ประกันสังคม 750.-</t>
        </r>
      </text>
    </comment>
    <comment ref="J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T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นางสาวนิติราภรณ์ ศรีกันต์
ตกเบิก เดือน ธ.ค.61
ค่าจ้าง 24,556.45
ประกันสังคม 750.-</t>
        </r>
      </text>
    </comment>
    <comment ref="AJ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X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นายคณาวุฒิ เจียมวัฒนพงศ์
ประจำตำแหน่ง 
ตกเบิก 6 มิ.ย.61-31 ก.ย.61 = 21,466.67
ตกเบิก ต.ค.61-พ.ย.61 = 11,200.-</t>
        </r>
      </text>
    </comment>
    <comment ref="HF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นายรังสรรค์ ร่วมนิคม
ตกเบิก ตั้งแต่ 20 ธ.ค.60-31 ส.ค.62
ประจำตำแหน่ง 114,167.74</t>
        </r>
      </text>
    </comment>
    <comment ref="FN7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A7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7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N1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11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J1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V1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92.01</t>
        </r>
      </text>
    </comment>
    <comment ref="AJ1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J15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V1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276.03</t>
        </r>
      </text>
    </comment>
    <comment ref="AJ1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1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J1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122.68</t>
        </r>
      </text>
    </comment>
    <comment ref="BX1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K15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นายฉัตรวัฒน์ หวังศิริกำโชค จ้าง 1 ก.พ.62 ตกเบิก ก.พ.62
ค่าจ้าง 26,250.-
ประกันสังคม 750.-</t>
        </r>
      </text>
    </comment>
    <comment ref="CL15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X15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92.01
นายฉัตรวัฒน์ หวังศิริกำโชค จ้าง 1 ก.พ.62 ตกเบิก ก.พ.62
ค่าจ้าง 26,250.-
ประกันสังคม 750.-</t>
        </r>
      </text>
    </comment>
    <comment ref="DL15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Z15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L15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214.69</t>
        </r>
      </text>
    </comment>
    <comment ref="EZ1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A18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62 = 1,440.-</t>
        </r>
      </text>
    </comment>
    <comment ref="FN19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Z19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= 153.35</t>
        </r>
      </text>
    </comment>
    <comment ref="GA19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62 = 13,880.-</t>
        </r>
      </text>
    </comment>
    <comment ref="GN19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N2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23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J27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นายเอนก สอหวัง
ค่าจ้าง 16,900.-
ประกันสังคม 750.-</t>
        </r>
      </text>
    </comment>
    <comment ref="FN27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W27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นายเอนก สอหวัง
ค่าจ้าง 16,900.-
ประกันสังคม 750.-
กองทุนเงินทดแทน ปี 61
=  140.03</t>
        </r>
      </text>
    </comment>
    <comment ref="FO31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  <comment ref="GO31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  <comment ref="HA31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นายตามใจ อวิรุทธิโยธิน
ตกเบิก มิ.ย.60-มิ.ย.61 = 72,800.-
เดือน ก.ค.61-ก.ย.61 = 16,800.-
นางสาวปาริชาติ จันทร์งาม
ตกเบิก มิ.ย.60-มิ.ย.61 = 30,348.39
เดือน ก.ค.61-ก.ย.61 = 16,800.-</t>
        </r>
      </text>
    </comment>
    <comment ref="FO3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2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J2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2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X2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H2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นายสมัชชร อภิสิทธิ์สุขสันติ
ตกเบิก เดือน พ.ย.61
ค่าจ้าง 16,625.-
ประกันสังคม 750.-</t>
        </r>
      </text>
    </comment>
    <comment ref="CL2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U2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นายสมัชชร อภิสิทธิ์สุขสันติ
ตกเบิก เดือน พ.ย.61
ค่าจ้าง 16,625.-
ประกันสังคม 750.-</t>
        </r>
      </text>
    </comment>
    <comment ref="DL2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V22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นายธีรศักดิ์ ลิ้มทีตธนกุล
ตกเบิก เดือน พ.ย.61
ค่าจ้าง 16,625.-
ประกันสังคม 750.-</t>
        </r>
      </text>
    </comment>
    <comment ref="DZ2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I2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นายธีรศักดิ์ ลิ้มทีตธนกุล
ตกเบิก เดือน พ.ย.61
ค่าจ้าง 16,625.-
ประกันสังคม 750.-</t>
        </r>
      </text>
    </comment>
    <comment ref="EZ2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N22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22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HB22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B22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P22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JP22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TS22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กองทุนเงินทดแทน ปี 61
 = 299.04</t>
        </r>
      </text>
    </comment>
    <comment ref="TT2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กองทุนเงินทดแทน ปี 62
 = 13,120.-</t>
        </r>
      </text>
    </comment>
    <comment ref="VK22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นางภคมน ตั้งจิตติเลิศ
ตกเบิก เดือน มี.ค.63
ประจำตำแหน่ง 5,600.-</t>
        </r>
      </text>
    </comment>
    <comment ref="JY23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ต.ค.61 นางสาวลลิตา พรหมวงศ์ 
ค่าจ้าง 20,322.58
ประกันสังคม 750.-</t>
        </r>
      </text>
    </comment>
    <comment ref="KD23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KH23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นางรัษฎา บุญสอน
จ้าง 1 เม.ย.63
ตกเบิกปรับเพิ่มวุฒิ ตั้งแต่ 31 ส.ค.61-12 มิ.ย.62
ค่าจ้าง 7,592.13
ตกเบิก ค่าจ้างปรับเพิ่มวุฒิ ตั้งแต่ 31 ส.ค.61-12 มิ.ย.62
ค่าจ้าง 9,324.-</t>
        </r>
      </text>
    </comment>
    <comment ref="KL23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ต.ค.61 นางสาวลลิตา พรหมวงศ์ 
ค่าจ้าง 20,322.58
ประกันสังคม 750.-</t>
        </r>
      </text>
    </comment>
    <comment ref="LD23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R23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MR23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F23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OF23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OT23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PT23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QC23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ต.ค.61 นายวรุฒ วรรณแก้ว 
ค่าจ้าง 20,322.58
ประกันสังคม 750.-</t>
        </r>
      </text>
    </comment>
    <comment ref="QH23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QP23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ต.ค.61 นายวรุฒ วรรณแก้ว 
ค่าจ้าง 20,322.58
ประกันสังคม 750.-</t>
        </r>
      </text>
    </comment>
    <comment ref="RH23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RV23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SV23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WL23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นางธนาทิพย์ ทิพย์วารี
ตั้งแต่ 28 ก.พ.61-30 เม.ย.62 = 78,600.-</t>
        </r>
      </text>
    </comment>
    <comment ref="WX23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นางสุดวดี สุวรรณ
ตกเบิก มี.ค.63
ประจำตำแหน่ง 5,600.-</t>
        </r>
      </text>
    </comment>
    <comment ref="XO23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นายฉัตรมงคล อินสว่าง
ตกเบิก ตั้งแต่ 17 ส.ค.60-20 ส.ค.60
ประจำตำแหน่ง 722.58
ตกเบิก ตั้งแต่ 21 ส.ค.60-19 ต.ค.60
ประจำตำแหน่ง 11,019.36</t>
        </r>
      </text>
    </comment>
    <comment ref="TJ27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TS27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กองทุนเงินทดแทน ปี 61
=  1,061.35</t>
        </r>
      </text>
    </comment>
    <comment ref="TT27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กองทุนเงินทดแทน ปี 62
 = 19,680.-</t>
        </r>
      </text>
    </comment>
    <comment ref="TV27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(เพิ่มดิติม) = 1,057.50</t>
        </r>
      </text>
    </comment>
    <comment ref="UJ27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J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X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L6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Z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Z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N6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6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HB6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B6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P6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นายสิริชัย จิรวงศ์นุสรณ์
ตกเบิก ปรับค่าจ้าง เฉพาะราย 29 ก.ค.61-31 มี.ค.62
ค่าจ้าง 26,879.23
กองทุนสำรองเลี้ยงชีพ 1,668.-</t>
        </r>
      </text>
    </comment>
    <comment ref="IS6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นางสาวนุอร ชูทอง
จ้าง 1 เม.ย.63
ตกเบิกปรับเพิ่มวุฒิ ตั้งแต่ เม.ย.62-มิ.ย.62
ค่าจ้าง 7,350.-
กองทุนสำรองเลี้ยงชีพ 222.-</t>
        </r>
      </text>
    </comment>
    <comment ref="JP6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นายสิริชัย จิรวงศ์นุสรณ์
ตกเบิก ปรับค่าจ้าง เฉพาะราย 29 ก.ค.61-31 มี.ค.62
ค่าจ้าง 26,879.23
กองทุนสำรองเลี้ยงชีพ 1,668.-</t>
        </r>
      </text>
    </comment>
    <comment ref="JS6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นางสาวนุอร ชูทอง
จ้าง 1 เม.ย.63
ตกเบิกปรับเพิ่มวุฒิ ตั้งแต่ เม.ย.62-มิ.ย.62
ค่าจ้าง 7,350.-
กองทุนสำรองเลี้ยงชีพ 222.-</t>
        </r>
      </text>
    </comment>
    <comment ref="KD6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D6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N6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นายภูวดล โพธิ์แดง
ค่าจ้าง 5,250.-
ประกันสังคม 20.-</t>
        </r>
      </text>
    </comment>
    <comment ref="LR6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MA6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นายภูวดล โพธิ์แดง
ค่าจ้าง 5,250.-
ประกันสังคม 20.-</t>
        </r>
      </text>
    </comment>
    <comment ref="MR6" authorId="0" shapeId="0" xr:uid="{00000000-0006-0000-0300-00001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QC6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ว่าที่ ร.ต.เจษฎาพร สถานทรัพย์
ประจำตำแหน่ง
ตกเบิก 7 ก.ค.60-30 ก.ย.61
 = 82,916.13
ตกเบิก ต.ค.61-พ.ย.61 = 11,200.-</t>
        </r>
      </text>
    </comment>
    <comment ref="QF6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นายอดิศักดิ์ แข็งสาริกิจ
ประจำตำแหน่ง
ตกเบิก 9 ต.ค.60-30 ก.ย.61
 = 65,754.84
ตกเบิก 1 ต.ค.61-28 ก.พ.62 = 28,000.-</t>
        </r>
      </text>
    </comment>
    <comment ref="QU6" authorId="0" shapeId="0" xr:uid="{00000000-0006-0000-0300-00001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นายคณน สุจารี
ประจำตำแหน่ง
ตกเบิก 22 พ.ย.60-30 เม.ย.62 = 96,880.-</t>
        </r>
      </text>
    </comment>
    <comment ref="J10" authorId="0" shapeId="0" xr:uid="{00000000-0006-0000-0300-00001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10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X10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นายสิริวัฒน์ ภู่รุ่งเรือง
ค่าจ้าง 12,350.-
ประกันสังคม 618.-</t>
        </r>
      </text>
    </comment>
    <comment ref="HK10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พ.ย.61
นายสิริวัฒน์ ภู่รุ่งเรือง
ค่าจ้าง 12,350.-
ประกันสังคม 618.-</t>
        </r>
      </text>
    </comment>
    <comment ref="NF10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OF10" authorId="0" shapeId="0" xr:uid="{00000000-0006-0000-0300-00001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G30" authorId="0" shapeId="0" xr:uid="{00000000-0006-0000-0300-00002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  <comment ref="OG30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  <comment ref="NG34" authorId="0" shapeId="0" xr:uid="{00000000-0006-0000-0300-00002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ปรับค่าจ้าง
ตกเบิก ต.ค.61-มี.ค.62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J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X6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L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L6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Z6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Z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N6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GN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HB6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B6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P6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JP6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KD6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D6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W6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นายอิทธิพล วิฑูรปัญญากิจ
ตกเบิก ตั้งแต่ 31 ต.ค.60-31 ส.ค.62
ประจำจำแหน่ง 123,380.65</t>
        </r>
      </text>
    </comment>
    <comment ref="LR10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W10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นางสาวสุจิตรา โกษา
ตกเบิก ตั้งแต่ 1 ต.ค.61-24 ก.พ.62
ค่าจ้าง 1,184.28</t>
        </r>
      </text>
    </comment>
    <comment ref="MR10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นางสาวอาภาพร รุจิระเศรษฐ จ้าง 1 มี.ค.62 ตกเบิก มี.ค.62
ค่าข้าง 31,500.-
ประกันสังคม 750.-
นางสาวปิ่นอนงค์ ธนิกกุล จ้าง 1 มี.ค.62 ตกเบิก มี.ค.62
ค่าข้าง 31,500.-
ประกันสังคม 750.-</t>
        </r>
      </text>
    </comment>
    <comment ref="M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ดร.จารุพัฒน์ กาญจนรงค์
จ้าง 4 มิ.ย.62
ตกเบิก มิ.ย.62
ค่าจ้าง 28,350.-
ประกันสังคม 750.-</t>
        </r>
      </text>
    </comment>
    <comment ref="O6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นางสาววิจิตรา ปล้องบรรจง
ตกเบิก ส.ค.62
ค่าจ้าง 31,500.-
ประกันสังคม 750.-</t>
        </r>
      </text>
    </comment>
    <comment ref="W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นางสาวอาภาพร รุจิระเศรษฐ จ้าง 1 มี.ค.62 ตกเบิก มี.ค.62
ค่าข้าง 31,500.-
ประกันสังคม 750.-
นางสาวปิ่นอนงค์ ธนิกกุล จ้าง 1 มี.ค.62 ตกเบิก มี.ค.62
ค่าข้าง 31,500.-
ประกันสังคม 750.-</t>
        </r>
      </text>
    </comment>
    <comment ref="Z6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ดร.จารุพัฒน์ กาญจนรงค์
จ้าง 4 มิ.ย.62
ตกเบิก มิ.ย.62
ค่าจ้าง 28,350.-
ประกันสังคม 750.-</t>
        </r>
      </text>
    </comment>
    <comment ref="AB6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นางสาววิจิตรา ปล้องบรรจง
ตกเบิก ส.ค.62
ค่าจ้าง 31,500.-
ประกันสังคม 750.-</t>
        </r>
      </text>
    </comment>
    <comment ref="AJ6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I6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นางสาวกชศร หัสโรค์
ตกเบิก ตั้งแต่ 4 ม.ค.60-30 มิ.ย.62
ประจำตำแหน่ง 167,458.06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J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X1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BX10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CL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L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DZ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EZ10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J10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Wanlaya:
ตกเบิก เดือน พ.ย.61
นางสาวสิริลักษณ์ ลุผักชี
ค่าจ้าง 9,100.-
ประกันสังคม 455.-</t>
        </r>
      </text>
    </comment>
    <comment ref="FN1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FO10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นางสาวราตรี หกราโชติ
จ้าง 17 เม.ย.62
ตกเบิก เม.ย.62
ค่าจ้าง 9,100.-
ประกันสังคม 350.-</t>
        </r>
      </text>
    </comment>
    <comment ref="FP10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นางสาวสมร พิมพาลัย
เดทอน มิ.ย.62
ค่าจ้าง 25,450.-
ประกันสังคม 750.-</t>
        </r>
      </text>
    </comment>
    <comment ref="FW10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Wanlaya:
ตกเบิก เดือน พ.ย.61
นางสาวสิริลักษณ์ ลุผักชี
ค่าจ้าง 9,100.-
ประกันสังคม 455.-</t>
        </r>
      </text>
    </comment>
    <comment ref="GB10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นางสาวราตรี หกราโชติ
จ้าง 17 เม.ย.62
ตกเบิก เม.ย.62
ค่าจ้าง 9,100.-
ประกันสังคม 350.-</t>
        </r>
      </text>
    </comment>
    <comment ref="GC1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นางสาวสมร พิมพาลัย
เดทอน มิ.ย.62
ค่าจ้าง 25,450.-
ประกันสังคม 750.-</t>
        </r>
      </text>
    </comment>
    <comment ref="GN10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HB10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B10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J10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ต.ค.61 นางสาวมธิรส ประทุมเมศร์ 19,500.- จ้าง 1 ต.ค.61</t>
        </r>
      </text>
    </comment>
    <comment ref="IP10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IS10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นายสิทธา กิจเจริญ
จ้าง 4 มิ.ย.62
ตกเบิก มิ.ย.62
ค่าจ้าง 20,475.-
ประกันสังคม 667.-</t>
        </r>
      </text>
    </comment>
    <comment ref="IW10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ต.ค.61 นางสาวมธิรส ประทุมเมศร์ 19,500.- จ้าง 1 ต.ค.61</t>
        </r>
      </text>
    </comment>
    <comment ref="JF10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นายสิทธา กิจเจริญ
จ้าง 4 มิ.ย.62
ตกเบิก มิ.ย.62
ค่าจ้าง 20,475.-
ประกันสังคม 667.-</t>
        </r>
      </text>
    </comment>
    <comment ref="JP10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KD10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D10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LR10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ME10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MR10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B10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Wanlaya:
ตกเบิก เดือน พ.ย.61
ว่าที่ ร.ต.ญ.ศศิธร สังข์เทศ
ค่าจ้าง 19,500.-
ประกันสังคม 750.-</t>
        </r>
      </text>
    </comment>
    <comment ref="NF10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NO10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Wanlaya:
ตกเบิก เดือน พ.ย.61
ว่าที่ ร.ต.ญ.ศศิธร สังข์เทศ
ค่าจ้าง 19,500.-
ประกันสังคม 750.-</t>
        </r>
      </text>
    </comment>
    <comment ref="OF10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OS10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นางสาวณัชกรณ์ อยู่สงค์ จ้าง 1 ก.พ.62 ตกเบิก ก.พ.62
ค่าจ้าง 19,500.-
ประกันสังคม 750.-</t>
        </r>
      </text>
    </comment>
    <comment ref="OT1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PF1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นางสาวณัชกรณ์ อยู่สงค์ จ้าง 1 ก.พ.62 ตกเบิก ก.พ.62
ค่าจ้าง 19,500.-
ประกันสังคม 750.-</t>
        </r>
      </text>
    </comment>
    <comment ref="PT1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QH10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RH10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RV10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SV10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TJ10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UJ10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UX10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VX10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WL10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XL10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XZ10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YZ10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ZN10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
นางสาวณัฐนุช เจียรประดิษฐ์ จ้าง 1 มี.ค.62 ตกเบิก มี.ค.62
ค่าข้าง 22,750.-
ประกันสังคม 750.-</t>
        </r>
      </text>
    </comment>
    <comment ref="AAA10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นางสาวณัฐนุช เจียรประดิษฐ์ จ้าง 1 มี.ค.62 ตกเบิก มี.ค.62
ค่าข้าง 22,750.-
ประกันสังคม 750.-</t>
        </r>
      </text>
    </comment>
    <comment ref="AAN10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BB10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CB10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S11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เงินสมทบกองทุนเงินทดแทน ของพนักงาน 
 ปี 61 = 10,800.-
 ปี 62 = 157,300.-</t>
        </r>
      </text>
    </comment>
    <comment ref="U11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เงินสมทบกองทุนเงินทดแทน (ส่วนต่าง) 
  ปี 62 = 1,782.77</t>
        </r>
      </text>
    </comment>
    <comment ref="AF11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ธรรมเนียมการจัดทำระบบทะเบียนสมาชิก เดือน ต.ค.61-ธ.ค.61 = 6,687.50 บริษัท หลักทรัพย์จัดการกองทุน กสิกรไทย จำกัด</t>
        </r>
      </text>
    </comment>
    <comment ref="AK11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ธรรมเนียมการจัดทำระบบทะเบียนสมาชิก เดือน ม.ค.62-ธี.ค.62 = 6,689.20 บริษัท หลักทรัพย์จัดการกองทุน กสิกรไทย จำกัด</t>
        </r>
      </text>
    </comment>
    <comment ref="AL11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ธรรมเนียมการจัดทำระบบทะเบียนสมาชิก เดือน เม.ย.62-มิ.ย.62 = 6,815.90 บริษัท หลักทรัพย์จัดการกองทุน กสิกรไทย จำกัด</t>
        </r>
      </text>
    </comment>
    <comment ref="AO11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ธรรมเนียมการจัดทำระบบทะเบียนสมาชิก เดือน ก.ค.62-ก.ย.62 = 6,789.15 บริษัท หลักทรัพย์จัดการกองทุน กสิกรไทย จำกัด</t>
        </r>
      </text>
    </comment>
    <comment ref="QH11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CP12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DP12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ED13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FD13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FR18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  <comment ref="AGE18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62 = 778.18</t>
        </r>
      </text>
    </comment>
    <comment ref="AGJ18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สมทบกองทุนเงินทดแทน ปี 61 (เพิ่มเติม) 337.37</t>
        </r>
      </text>
    </comment>
    <comment ref="AGR18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ปรับค่าจ้าง เดือน ต.ค.61-มี.ค.62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AD3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เดือน ก.ย.61 นางสาวพลอยปภัส จุฑารัฐศาสตร์ 947.-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Wanlaya</author>
  </authors>
  <commentList>
    <comment ref="AD3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Wanlaya:</t>
        </r>
        <r>
          <rPr>
            <sz val="9"/>
            <color indexed="81"/>
            <rFont val="Tahoma"/>
            <family val="2"/>
          </rPr>
          <t xml:space="preserve">
ตกเบิก เดืดน ก.ย.61 นายสัญญา วุฒิการณ์ 788.-</t>
        </r>
      </text>
    </comment>
  </commentList>
</comments>
</file>

<file path=xl/sharedStrings.xml><?xml version="1.0" encoding="utf-8"?>
<sst xmlns="http://schemas.openxmlformats.org/spreadsheetml/2006/main" count="3777" uniqueCount="372">
  <si>
    <t>พื้นที่</t>
  </si>
  <si>
    <t>ศาลายา</t>
  </si>
  <si>
    <t>จักรวรรดิ</t>
  </si>
  <si>
    <t>เพาะช่าง</t>
  </si>
  <si>
    <t>วังไกล</t>
  </si>
  <si>
    <t>ค่าจ้าง</t>
  </si>
  <si>
    <t>ประกันสังคม</t>
  </si>
  <si>
    <t>กองทุน</t>
  </si>
  <si>
    <t>วิชาการ</t>
  </si>
  <si>
    <t>สนับสนุน</t>
  </si>
  <si>
    <t>คณะบริหารธุรกิจ</t>
  </si>
  <si>
    <t>การจัดการเทคโนโลยีสารสนเทศทางธุรกิจ</t>
  </si>
  <si>
    <t>การจัดการอุตสาหกรรม</t>
  </si>
  <si>
    <t>เทคโนโลยีสารสนเทศทางธุรกิจ</t>
  </si>
  <si>
    <t>สาย</t>
  </si>
  <si>
    <t>คณะศิลปศาสตร์</t>
  </si>
  <si>
    <t>รวม</t>
  </si>
  <si>
    <t>วิทย์</t>
  </si>
  <si>
    <t>สังคม</t>
  </si>
  <si>
    <t>องค์</t>
  </si>
  <si>
    <t>ทำนุ</t>
  </si>
  <si>
    <t>ศึกษาทั่วไป</t>
  </si>
  <si>
    <t>การตลาด</t>
  </si>
  <si>
    <t>การบัญชี</t>
  </si>
  <si>
    <t>การบริหารธุรกิจระหว่างประเทศ</t>
  </si>
  <si>
    <t>การจัดการ</t>
  </si>
  <si>
    <t>ภาษาอังกฤษธุรกิจ</t>
  </si>
  <si>
    <t>บริหารธุรกิจ</t>
  </si>
  <si>
    <t>ภาษาอังกฤษเพื่อการสื่อสาร</t>
  </si>
  <si>
    <t>ภาษาญี่ปุ่น</t>
  </si>
  <si>
    <t>ภาษาจีน</t>
  </si>
  <si>
    <t>วิทยาลัยเพาะช่าง (คณะศิลปกรรม)</t>
  </si>
  <si>
    <t>ออกแบบภายใน</t>
  </si>
  <si>
    <t>ศิลปะการถ่ายภาพ</t>
  </si>
  <si>
    <t>ออกแบบนิเทศศิลป์</t>
  </si>
  <si>
    <t>ออกแบบผลิตภัณฑ์</t>
  </si>
  <si>
    <t>โลหะและรูปพรรณอัญมณี</t>
  </si>
  <si>
    <t>เครื่องปั้นดินเผา</t>
  </si>
  <si>
    <t>ศิลปหัตถกรรม</t>
  </si>
  <si>
    <t>จิตรกรรม</t>
  </si>
  <si>
    <t>ศิลปะภาพพิมพ์</t>
  </si>
  <si>
    <t>ประติมากรรม</t>
  </si>
  <si>
    <t>จิตรกรรมไทย</t>
  </si>
  <si>
    <t>ประติมากรรมไทย</t>
  </si>
  <si>
    <t>หัตถศิลป์</t>
  </si>
  <si>
    <t>คณะวิศวกรรมศาสตร์</t>
  </si>
  <si>
    <t>วิศวกรรมโยธา</t>
  </si>
  <si>
    <t>วิศวกรรมโทรคมนาคม</t>
  </si>
  <si>
    <t>วิศวกรรมเมคคาทรอนิกส์</t>
  </si>
  <si>
    <t>วิศวกรรมคอมพิวเตอร์</t>
  </si>
  <si>
    <t>วิศวกรรมการวัดคุม</t>
  </si>
  <si>
    <t>วิศวกรรมไฟฟ้า</t>
  </si>
  <si>
    <t>วิศวกรรมเครื่องกล</t>
  </si>
  <si>
    <t>วิศวกรรมวัสดุ</t>
  </si>
  <si>
    <t>วิศวกรรมอุตสาหการ</t>
  </si>
  <si>
    <t>คณะสถาปัตยกรรมศาสตร์และการออกแบบ</t>
  </si>
  <si>
    <t>สำนักงานคณบดี/เจ้าหน้าที่</t>
  </si>
  <si>
    <t>เทคโนโลยีสถาปัตยกรรม</t>
  </si>
  <si>
    <t>การจัดการงานก่อสร้าง</t>
  </si>
  <si>
    <t>เทคโนโลยีนิเทศศิลป์</t>
  </si>
  <si>
    <t>ออกแบบผลิตภัณฑ์อุตสาหกรรม</t>
  </si>
  <si>
    <t>สถาปัตยกรรมภายใน</t>
  </si>
  <si>
    <t>การจัดการทรัพยากรอาคาร</t>
  </si>
  <si>
    <t>การออกแบบสื่อดิจิทัล</t>
  </si>
  <si>
    <t>หน่วยงานส่วนกลาง</t>
  </si>
  <si>
    <t>สำนักงานอธิการบดี</t>
  </si>
  <si>
    <t>กองกลาง</t>
  </si>
  <si>
    <t>กองคลัง</t>
  </si>
  <si>
    <t>กองอาคารสถานที่ฯ</t>
  </si>
  <si>
    <t>สำนักงานสภามหาวิทยาลัย</t>
  </si>
  <si>
    <t>กองนโยบายและแผน</t>
  </si>
  <si>
    <t>กองบริหารงานบุคคล</t>
  </si>
  <si>
    <t>กองกิจการพิเศษ</t>
  </si>
  <si>
    <t>สำนักงานนิติการ</t>
  </si>
  <si>
    <t>กองพัฒนานักศึกษา</t>
  </si>
  <si>
    <t>สำนักงานประชาสัมพันธ์ฯ</t>
  </si>
  <si>
    <t>สำนักวิทยบริการและสารสนเทศ</t>
  </si>
  <si>
    <t>สำนักประกันคุณภาพ</t>
  </si>
  <si>
    <t>สำนักส่งเสริมวิชาการและงานทะเบียน</t>
  </si>
  <si>
    <t>กองสหกิจศึกษา</t>
  </si>
  <si>
    <t>สำนักงานตรวจสอบภายใน</t>
  </si>
  <si>
    <t>ศูนย์พัฒนาและบริการฯ</t>
  </si>
  <si>
    <t>ศูนย์ภาษาและอาเซียนฯ</t>
  </si>
  <si>
    <t>สำนักงานออกแบบฯ</t>
  </si>
  <si>
    <t>สถาบันศิลปวัฒนธรรม</t>
  </si>
  <si>
    <t>สำนักบริหารจักรวรรดิ</t>
  </si>
  <si>
    <t>สถาบันวิจัยและพัฒนา</t>
  </si>
  <si>
    <t>ประจำตำแหน่ง</t>
  </si>
  <si>
    <t>ต.ค.59</t>
  </si>
  <si>
    <t>พ.ย.59</t>
  </si>
  <si>
    <t>ธ.ค.59</t>
  </si>
  <si>
    <t>ม.ค.60</t>
  </si>
  <si>
    <t>ก.พ.60</t>
  </si>
  <si>
    <t>มี.ค.60</t>
  </si>
  <si>
    <t>เม.ย.60</t>
  </si>
  <si>
    <t>พ.ค.60</t>
  </si>
  <si>
    <t>มิ.ย.60</t>
  </si>
  <si>
    <t>ก.ค.60</t>
  </si>
  <si>
    <t>ส.ค.60</t>
  </si>
  <si>
    <t>ก.ย.60</t>
  </si>
  <si>
    <t>หน่วยงาน</t>
  </si>
  <si>
    <t>องค์ความรู้</t>
  </si>
  <si>
    <t>ทำนุบำรุง</t>
  </si>
  <si>
    <t>พี้นที่</t>
  </si>
  <si>
    <t>ศิลปศาสตร์</t>
  </si>
  <si>
    <t>วิทยาลัยเพาะช่าง</t>
  </si>
  <si>
    <t>วิศวกรรมศาสตร์</t>
  </si>
  <si>
    <t>สถาปัตยกรรมศาตร์</t>
  </si>
  <si>
    <t>สำนักออกแบบฯ</t>
  </si>
  <si>
    <t>สำนักวิทยบริการฯ</t>
  </si>
  <si>
    <t>สำนักส่งเสริมวิชาการฯ</t>
  </si>
  <si>
    <t>สถาบันศิลปและวัฒนธรรม</t>
  </si>
  <si>
    <t>ค่าจ้างพนักงาน</t>
  </si>
  <si>
    <t>ประจำตำแหน่งพนักงาน</t>
  </si>
  <si>
    <t>ตามใบ บช.</t>
  </si>
  <si>
    <t>ค่าใช้จ่ายทั้งสิ้น</t>
  </si>
  <si>
    <t>อุตสาหกรรมการโรงแรมและการท่องเที่ยว</t>
  </si>
  <si>
    <t>อุตสาหกรรมและเทคโนโลยี</t>
  </si>
  <si>
    <t>สำนักงานวิทยาเขตวังไกลกังวล</t>
  </si>
  <si>
    <t>สำนักงานการศึกษาทางไกล</t>
  </si>
  <si>
    <t>สายวิชาการ/สนับสนุน</t>
  </si>
  <si>
    <t>น.ส.ธนิชชา ชัยชัชวาลประทีป</t>
  </si>
  <si>
    <t>น.ส.แววดาว จงกลนี</t>
  </si>
  <si>
    <t>น.ส.พเยาว์ สายทองสุข</t>
  </si>
  <si>
    <t>น.ส.ปัทมา สายหอม</t>
  </si>
  <si>
    <t>น.ส.มนัสนันท์ เม่งก่วง</t>
  </si>
  <si>
    <t>น.ส.ปวีณา ขำพัด</t>
  </si>
  <si>
    <t>นายพงศ์ธวัช ศรีจำนอง</t>
  </si>
  <si>
    <t>น.ส.ลิขิตา เฉลิมพลโยธิน</t>
  </si>
  <si>
    <t>น.ส.สุนิสา มามาก</t>
  </si>
  <si>
    <t>น.ส.สุวัจนา หนูในน้ำ</t>
  </si>
  <si>
    <t>น.ส.สุนันทา ล่องวัด</t>
  </si>
  <si>
    <t>น.ส.วรินทร คเชนทร์เดชา</t>
  </si>
  <si>
    <t>น.ส.อังคเณ บุญเกิด</t>
  </si>
  <si>
    <t>นายสุนัน หนองเหล็ก</t>
  </si>
  <si>
    <t>น.ส.รักชนกชรินทร์ พูลสุวรรณนธี</t>
  </si>
  <si>
    <t>นายเฉลิมพล คล้ายนิล</t>
  </si>
  <si>
    <t>นายคมกริช ละวรรณวงษ์</t>
  </si>
  <si>
    <t>น.ส.อรจิตร แจ่มแสง</t>
  </si>
  <si>
    <t>นายวรุฒม์ บุญเลี่ยม</t>
  </si>
  <si>
    <t>นายคมสันต์ ทับชัย</t>
  </si>
  <si>
    <t>น.ส.ศิริเรือง พัฒน์ช่วย</t>
  </si>
  <si>
    <t>น.ส.ปิยะวรรณ สูนาสวน</t>
  </si>
  <si>
    <t>นายนิวัฒน์ มูเก็ม</t>
  </si>
  <si>
    <t>นายประสาน แสงเขียว</t>
  </si>
  <si>
    <t>นางธัญรดา พรพุฒิศิริ</t>
  </si>
  <si>
    <t>น.ส.สุนิดา แสงอาวุธ</t>
  </si>
  <si>
    <t>นายเอกชัย หลายชั้น</t>
  </si>
  <si>
    <t>นายอาทิตย์ อยู่เย็น</t>
  </si>
  <si>
    <t>น.ส.จิณกมล ลุยจันทร์</t>
  </si>
  <si>
    <t>นายวิศรุต สื่อสุวรรณ</t>
  </si>
  <si>
    <t>นายศิวะพร วิวัฒน์ภิญโญ</t>
  </si>
  <si>
    <t>นายวีรวัฒน์ เพ็งช่วย</t>
  </si>
  <si>
    <t>นายทรงกลด ศรีปรางค์</t>
  </si>
  <si>
    <t>นายพิสิทธิ์ เมืองน้อย</t>
  </si>
  <si>
    <t>น.ส.วิลาวัณย์ แสงประสิทธิ์</t>
  </si>
  <si>
    <t>นายภาสกร ศรีสุวรรณ</t>
  </si>
  <si>
    <t>นายฮารูณ ยิงทา</t>
  </si>
  <si>
    <t>น.ส.วิลาวรรณ สุขชนะ</t>
  </si>
  <si>
    <t>นายณัฎฐพล แจ้งจงดี</t>
  </si>
  <si>
    <t>นายธีรพล ยอดโรจน์</t>
  </si>
  <si>
    <t>นายพิสิฐ ขาวด้วง</t>
  </si>
  <si>
    <t>นายอาคีรา ราชเวียง</t>
  </si>
  <si>
    <t>นายพงศกร หลีตระกูล</t>
  </si>
  <si>
    <t>น.ส.ธารทิพย์ ขนาบศักดิ์</t>
  </si>
  <si>
    <t>นายสมพร พึ่งสม</t>
  </si>
  <si>
    <t>นายทวี หมัดส๊ะ</t>
  </si>
  <si>
    <t>น.ส.อุไรวรรณ พงสา</t>
  </si>
  <si>
    <t>น.ส.ญาฎา ศรีวิฑูรย์</t>
  </si>
  <si>
    <t>นางศศิกานต์ คล้ายนิล</t>
  </si>
  <si>
    <t>นายภูเมศวร์ แสงระยับ</t>
  </si>
  <si>
    <t>นางพอเหมาะ ชัยมงคล</t>
  </si>
  <si>
    <t>น.ส.เปมิกา ปิ่นชัยมูล</t>
  </si>
  <si>
    <t>น.ส.จิรนันท์ บัวสุวรรณ์</t>
  </si>
  <si>
    <t>น.ส.นลินี พิมพ์สวัสดิ์</t>
  </si>
  <si>
    <t>น.ส.ศิรินี รุ่งเพล</t>
  </si>
  <si>
    <t>น.ส.ภัทราภรณ์ เทศสาลี</t>
  </si>
  <si>
    <t>นายดำริห์ ลิ่มสกุล</t>
  </si>
  <si>
    <t>นางจันทร์ทณีย์ จันทร์สวัสดิ์</t>
  </si>
  <si>
    <t>น.ส.จันทิมา มงคล</t>
  </si>
  <si>
    <t>น.ส.ปุณยวีร์ แตงอุดม</t>
  </si>
  <si>
    <t>น.ส.สุภาวิตา บูลย์ชนะ</t>
  </si>
  <si>
    <t>นายวิรัชต์ ดัดพันธ์</t>
  </si>
  <si>
    <t>น.ส.ธัญญรัตน์ เข็มนาค</t>
  </si>
  <si>
    <t>น.ส.วรรณา เส็งสีแดง</t>
  </si>
  <si>
    <t>นายนิวัฒน์ พลพา</t>
  </si>
  <si>
    <t>น.ส.กานดา ดำขุน</t>
  </si>
  <si>
    <t>น.ส.จันทิมา สายทอง</t>
  </si>
  <si>
    <t>น.ส.พิชชาณี สุขจินดา</t>
  </si>
  <si>
    <t>น.ส.มัณฑนา เทียมทัด</t>
  </si>
  <si>
    <t>น.ส.ปาริชาต จันทร์งาม</t>
  </si>
  <si>
    <t>น.ส.เหมนารา ตระกูลกำเหนิดเหมาะ</t>
  </si>
  <si>
    <t>น.ส.สิวินีย์ ไชยพงษ์</t>
  </si>
  <si>
    <t>นางศศิธร ปัจจุโส</t>
  </si>
  <si>
    <t>นายธเนศวร นวลใย</t>
  </si>
  <si>
    <t>น.ส.เบญจมาส ไชยลาภ</t>
  </si>
  <si>
    <t>นายอนุชิต ฮันเย็ก</t>
  </si>
  <si>
    <t>น.ส.บวรรัตน์ ลาวัณย์เลิศสกุล</t>
  </si>
  <si>
    <t>นายธนา นันทิกาญจนะ</t>
  </si>
  <si>
    <t>นายยอดฟ้า มีมานาน</t>
  </si>
  <si>
    <t>น.ส.อุบลรัตน์ อ่วมด้วง</t>
  </si>
  <si>
    <t>นายกิตติพงษ์ สิทธิกุล</t>
  </si>
  <si>
    <t>น.ส.โสรัจจะ คล้ายฉิม</t>
  </si>
  <si>
    <t>น.ส.ธัญญรัตน์ ไทยประเสริฐ</t>
  </si>
  <si>
    <t>นายศุภชัย ไทยพุ่ม</t>
  </si>
  <si>
    <t>นายจักราวุธ ตันสกุล</t>
  </si>
  <si>
    <t>นายอธิสิทธิ์ นุชเนตร</t>
  </si>
  <si>
    <t>น.ส.สุภาพร เพชรัตน์กุล</t>
  </si>
  <si>
    <t>น.ส.พัชราภรณ์ ชัยพัฒนเมธี</t>
  </si>
  <si>
    <t>นายกิตติศักดิ์ โชติกิติพัฒน์</t>
  </si>
  <si>
    <t>นายนิพล เอกอุดม</t>
  </si>
  <si>
    <t>น.ส.ลักขณา บุญณรงค์</t>
  </si>
  <si>
    <t>นางทวีพร ตรีผอง</t>
  </si>
  <si>
    <t>นายนพดล สายคติกรณ์</t>
  </si>
  <si>
    <t>น.ส.ขวัญชนก พงษ์จีน</t>
  </si>
  <si>
    <t>น.ส.อัจฉราสิริ บุญสนอง</t>
  </si>
  <si>
    <t>น.ส.สุภัทรศร สถาพรศุภโชค</t>
  </si>
  <si>
    <t>น.ส.กรรณิกา บุญเกษม</t>
  </si>
  <si>
    <t>น.ส.อังคณา จัตตมาศ</t>
  </si>
  <si>
    <t>น.ส.พิมพ์ปวีณ์ มะณีวงศ์</t>
  </si>
  <si>
    <t>น.ส.ฐานิสรา สายเพ็ชร</t>
  </si>
  <si>
    <t>นางฉลอง รัตนพงษ์</t>
  </si>
  <si>
    <t>น.ส.เพียงฤทัย หนูสวัสดิ์</t>
  </si>
  <si>
    <t>ไตรมาส 1</t>
  </si>
  <si>
    <t>ไตรมาส 2</t>
  </si>
  <si>
    <t>ไตรมาส 3</t>
  </si>
  <si>
    <t>ไตรมาส 4</t>
  </si>
  <si>
    <t>รวมทั้งสิ้น</t>
  </si>
  <si>
    <t>รวมทั้วสิ้น</t>
  </si>
  <si>
    <t>นายปริญญา กวีกิจบัญจิต</t>
  </si>
  <si>
    <t>นางรุจรวี จินตวรรณ</t>
  </si>
  <si>
    <t>น.ส.พลอยปภัส จุฑารัฐเศรษฐ์</t>
  </si>
  <si>
    <t>น.ส.สุวรรณา จารุทัศนีย์</t>
  </si>
  <si>
    <t>นายพลกฤช ตันติญานุกูล</t>
  </si>
  <si>
    <t>คณะอุตสาหกรรมการโรงแรมและการท่องเที่ยว</t>
  </si>
  <si>
    <t>คณะอุตสาหกรรมและเทคโนโลยี</t>
  </si>
  <si>
    <t>โอนไปตั้งจ่ายวังไกล</t>
  </si>
  <si>
    <t>น.ส.กชศร หัสโรค์</t>
  </si>
  <si>
    <t>นายพฤฒภควัต เพ็งตะโก</t>
  </si>
  <si>
    <t>นายกายสิทธิ์ ฤทธิ์หนุม</t>
  </si>
  <si>
    <t>น.ส.ภัทรานาฐ์ ไกรระเบียบ</t>
  </si>
  <si>
    <t>น.ส.วราภรณ์ ศรเดช</t>
  </si>
  <si>
    <t>นายคณาพจน์ ยอดมณี</t>
  </si>
  <si>
    <t>นายตามใจ อวิรุทธิโยธิน</t>
  </si>
  <si>
    <t>นางอภิษฎาข์ ศรีเครือดง</t>
  </si>
  <si>
    <t>เงินประจำตำแหน่งพนักงาน</t>
  </si>
  <si>
    <t>ต.ค.60</t>
  </si>
  <si>
    <t>พ.ย.60</t>
  </si>
  <si>
    <t>ธ.ค.60</t>
  </si>
  <si>
    <t>ตำแหน่ง</t>
  </si>
  <si>
    <t>ตกเบิก มิ.ย.60-ก.ย.61</t>
  </si>
  <si>
    <t xml:space="preserve">ตกเบิก </t>
  </si>
  <si>
    <t>รวมตกเบิก</t>
  </si>
  <si>
    <t>ต.ค.61</t>
  </si>
  <si>
    <t>พ.ย.61</t>
  </si>
  <si>
    <t>ธ.ค.61</t>
  </si>
  <si>
    <t>ม.ค.62</t>
  </si>
  <si>
    <t>ก.พ.62</t>
  </si>
  <si>
    <t>มี.ค.62</t>
  </si>
  <si>
    <t>นายเฉลิม จินาตุน</t>
  </si>
  <si>
    <t>นายสัญญา วุฒิกรณ์</t>
  </si>
  <si>
    <t>น.ส.ภาสุรีย์ ล้ำสกุล</t>
  </si>
  <si>
    <t>น.ส.นภารัตน์ ชูไพร</t>
  </si>
  <si>
    <t>นายคมศัลล์ ศรีวิสุทธิ์</t>
  </si>
  <si>
    <t>น.ส.ศศิพิมล จันทร์ทิตย์</t>
  </si>
  <si>
    <t>นายนพดล สุดสุย</t>
  </si>
  <si>
    <t>นายธนภัทร สีสดใส</t>
  </si>
  <si>
    <t>น.ส.กาญจนา ประกอบแสง</t>
  </si>
  <si>
    <t>น.ส.สุภาวดี มะณีวงศ์</t>
  </si>
  <si>
    <t>Mr.Feng Han ครูอาสาสมัครชาวจีน</t>
  </si>
  <si>
    <t>ม.ค.61</t>
  </si>
  <si>
    <t>ก.พ.61</t>
  </si>
  <si>
    <t>มี.ค.61</t>
  </si>
  <si>
    <t>เม.ย.61</t>
  </si>
  <si>
    <t>พ.ค.61</t>
  </si>
  <si>
    <t>มิ.ย.61</t>
  </si>
  <si>
    <t>ก.ค.61</t>
  </si>
  <si>
    <t>ส.ค.61</t>
  </si>
  <si>
    <t>ก.ย.61</t>
  </si>
  <si>
    <t>นางสาวกิติยา สุเหม</t>
  </si>
  <si>
    <t>น.ส.อังคณา จัตตามาศ</t>
  </si>
  <si>
    <t>คณะวิทยาศาสตร์และเทคโนโลยี</t>
  </si>
  <si>
    <t>สถาปัตยกรรมผังเมือง (เดิมชื่อสาขาวิชา สถาปัตยกรรมและการออกแบบชุมชนเมือง)</t>
  </si>
  <si>
    <t>น.ส.ภัทรานิษฐ์ ไกรระเบียบ</t>
  </si>
  <si>
    <t>สาขาวิชาวิทยาการแปรรูปและการประกอบอาหาร</t>
  </si>
  <si>
    <t>เดือน ต.ค.60</t>
  </si>
  <si>
    <t>เดือน พ.ย.60</t>
  </si>
  <si>
    <t>เดือน ธ.ค.60</t>
  </si>
  <si>
    <t>เดือน ม.ค.61</t>
  </si>
  <si>
    <t>เดือน ก.พ.61</t>
  </si>
  <si>
    <t>เดือน มี.ค.61</t>
  </si>
  <si>
    <t>เดือน เม.ย.61</t>
  </si>
  <si>
    <t>เดือน พ.ค.61</t>
  </si>
  <si>
    <t>เดือน มิ.ย.61</t>
  </si>
  <si>
    <t>เดือน ก.ค.61</t>
  </si>
  <si>
    <t>เดือน ส.ค.61</t>
  </si>
  <si>
    <t>เดือน ก.ย.61</t>
  </si>
  <si>
    <t>ตกเบิก ส่วนกลาง</t>
  </si>
  <si>
    <t>ตกเบิก วังไกล</t>
  </si>
  <si>
    <t>ตกเบิก ค่าจ้าง ก.พ.-มี.ค.61 วิทยาลัยเพาะช่าง ว่าที่ร้อยตรีสิทธิโชค เต็มสวัสดิ์ 47,000.-</t>
  </si>
  <si>
    <t>สถาปัตยกรรมศาสตร์</t>
  </si>
  <si>
    <t>ตามใบ บช. ส่วนกลาง</t>
  </si>
  <si>
    <t>ตามใบ บช. โอนไปวังไกล</t>
  </si>
  <si>
    <t>ตกเบิก ค่าจ้าง ก.ค.61 สถาปัตยฯ นางสาวธีรดา รองรัตน์ 26,153.23 , วิศวฯ นายวินัย พรพจน์รัตนกุล 31,233.87</t>
  </si>
  <si>
    <t>ตกเบิก ค่าจ้าง มิ.ย.-ก.ค.61 ศิลปศาสตร์ จก. นางสาวมาศวิกา ไชยภู 32,513.-</t>
  </si>
  <si>
    <t>วิทยาศาสตร์และเทคโนโลยี</t>
  </si>
  <si>
    <t>ตกเบิก 2 เม.ย.-31 ส.ค.61 นายพรชัย จิตติวสุรัตน์ 27,813.33</t>
  </si>
  <si>
    <t>ตกเบิก ค่าจ้าง ส.ค.61 วิทยาศาสตร์ฯ นางสาวเพ็ญศิริ แก้วทอง 32,250.-</t>
  </si>
  <si>
    <t>ตกเบิก พ.ค.-มิ.ย.61 บริหารฯ วก. นายธนภัทร สีสดใส 42,919.29</t>
  </si>
  <si>
    <t>ตกเบิก เม.ย.-มิ.ย.61 บริหารฯ วก. นางสาวกาญจนา ประกอบแสง 79,935.-</t>
  </si>
  <si>
    <t>บ.2799/61 ตกเบิก ค่าจ้าง มิ.ย.61 บริหารฯ จก. นางชนากานต์ อินทรสร 17,550.- ,นายวัชรพงศ์ ยอดราช 11,944.- ,นางสาวสรวดี ศรีเวทย์บดี 32,250.-</t>
  </si>
  <si>
    <t>บ.2799/61 ตกเบิก ค่าจ้าง มิ.ย.61 ศิลปศาสตร์ จก. นายสมบัติ แซ่เบ๊ 27,000.- ,นายปองพนธ์ สวนศรี 27,000.- ,นางสาวรุ่งฤดี นาอ่อน 11,944.-</t>
  </si>
  <si>
    <t>บ.2799/61 ตกเบิก ค่าจ้าง มิ.ย.61 วิทยาลัยเพาะช่าง นางสาวรดา อักษรทอง 27,000.-</t>
  </si>
  <si>
    <t>บ.2799/61 ตกเบิก ค่าจ้าง มิ.ย.61 วิทยาศาสตร์ฯ นายเพชรพงศ์ สุทธิพงศ์ 27,000.- , ศิลปศาสตร์ ศย. นางสาวศรสวรรค์ ดบขุนทด 11,944.-</t>
  </si>
  <si>
    <t>บ.2781/61 ตกเบิก ปรับเพิ่มวุฒิ ตั้งแต่ 25 ม.ค.-30 มิ.ย.61 ศิลปศาสตร์ จก. นางสาวพิมพร วัฒนากมลกุล 13,190.22</t>
  </si>
  <si>
    <t>บ.2435/61 ตกเบิก เดือน พ.ค.61 สถาปัตยฯ นายก้องเกียรติ หิรัญเกิด 32,250.-</t>
  </si>
  <si>
    <t>บ.1432/61 ตกเบิก ปรับเพิ่มวุฒิ 31 ต.ค.60-28ก.พ.61 สถาปัตยฯ นายจักรสิน น้อยไร่ภูมิ 13,745.77</t>
  </si>
  <si>
    <t>บ.1432/61 ตกเบิก ปรับเพิ่มวุฒิ 1 ต.ค.60-28ก.พ.61 วิทยาลัยเพาะช่าง นายศิระ สุวรรณศร 6,250.- ,ศิลปศาสตร์ จก. ดร.ปรมินทร์ ประภาการ 13,950.-</t>
  </si>
  <si>
    <t>บ.2213/61 ตกเบิก ค่าจ้าง เม.ย.61 นายอุทัย แก้วกลม 26,125.-</t>
  </si>
  <si>
    <t>บ.2213/61 ตกเบิก ค่าจ้าง เม.ย.61 นางสาวฉัตรกมล รอดประเสริฐ 26,125.-</t>
  </si>
  <si>
    <t>บ.2308/61 ตกเบิก ปรับแรกบรรจุ ม.ค.61-มิ.ย.61 วิทย์ 184,758.- สังคม 164,964.-</t>
  </si>
  <si>
    <t>บ.2309/61 ตกเบิก ปรับชดเชย ม.ค.61-มิ.ย.61 วิทย์ 841,146.- สังคม 524,811.-</t>
  </si>
  <si>
    <t>บ.2138/61 ตกเบิก ปรับแรกบรรจุ ม.ค.61-เม.ย.61 วิทย์ 760,727.23 สังคม 339,911.51 ทำนุ 2,472.-</t>
  </si>
  <si>
    <t>บ.2139/61 ตกเบิก ปรับชดเชย ม.ค.61-เม.ย.61 วิทย์ 2,274,817.36 สังคม 843,055.87 องค์ความรู้ฯ 41,652.- ทำนุ 5,356.-</t>
  </si>
  <si>
    <t>บ.1816/61 ตกเบิก ตั้งแต่ 1 ต.ค.60-31 มี.ค.61 วิศวฯ ศย. นายพิชิต กิตติสุวรรณ์ 59,400.- ,สถาปัตยฯ นางสาวฐปนี รัตนถาวร 33,600.- ,นายประธาน ยานกูลวงศ์ 33,600.-</t>
  </si>
  <si>
    <t>บ.192/61 ตกเบิก ค่าจ้าง ต.ค.60 กองคลัง นางสาวสุชญา มานวกุล 21,072.58 , กองนโยบายและแผน นางสาวอัจฉรา ล่องทอง 18,169.35 , สำนักงานนิติการ นางสาวกรรณิการ์ ทองพันธ์ 21,072.58 , ศิลปศาสตร์ ศย. นางสาวปริณดา กุลประดิษฐ์ 22,766.13 นายจิตตริน มงคลชัย 22,766.13 , วิศวฯ ศย. นายธีรวัฒน์ สุวรรณวัจณ์ 22,766.13</t>
  </si>
  <si>
    <t>บ.430/61 ประจำตำแหน่ง ค.ค.-ธ.ค61 เพิ่มเติม ศิลปศาสตร์ วก. นางสาวมัณฑนา เทียมทัด 16,800.-</t>
  </si>
  <si>
    <t>บ.361/61 ประจำตำแหน่ง ค.ค.-ธ.ค61 เพิ่มเติม อุต+เทคโนฯ นายอาคีรา ราชเวียง 16,800.- , ศิลปศาสตร์ วก. นายพลกฤต ตันติญานุกุล 16,800.-</t>
  </si>
  <si>
    <t xml:space="preserve">บ.1233/61 ค่าจ้าง+ตกเบิก ไตรมาส 2 </t>
  </si>
  <si>
    <t>บ.1818/61 ตกเบิก ค่าจ้าง (เพิ่มเติม) ต.ค.60-มี.ค.61 วิทยาลัยเพาะช่าง อ.ศิระ สุวรรณศร 6,540.-</t>
  </si>
  <si>
    <t>บ.1924/61 ตกเบิก ค่าจ้าง ตั้งแต่ 1 ต.ค.60-31 มี.ค.61 วังไกล วิทย์ 511,854.- สังคม 307,675.-</t>
  </si>
  <si>
    <t>บ.1234/61 ประจำตำแหน่ง เพิ่มเติม ตั้งแต่ ต.ค.60-มี.ค.61 ศิลปศาสตร์ วก. นายธเนศวร นวลใย 33,600.-</t>
  </si>
  <si>
    <t>บ.1754/61 ตกเบิก ค่าจ้าง ตั้งแต่ 1 ต.ค.60-31 มี.ค.61 ส่วนกลาง วิทย์ 2,115,099.01 สังคม 719,668.55 องค์ความรู้ฯ 67,668.- ทำนุฯ 12,300.-</t>
  </si>
  <si>
    <t>บ.774/61 ตกเบิก ค่าจ้าง ธ.ค.60 วิศวฯ ศย. นายชัยพิชิต คำพิมพ์ 12,945.04 , นายไชยณรงค์ กิตติญาณปัญญา 12,945.04</t>
  </si>
  <si>
    <t>บ.1082/61 ตกเบิก ม.ค.61 วิทย์ กองอาคารฯ 17,588.71 , สำนักงานสภาฯ 20,395.16 , กองคลัง 26,826.38 , กองนโยบายและแผน 12,111.13 , สำนักส่งเสริมฯ 17,588.71 , สถาปัตยฯ 35,132.07 , วิทยาลัยเพาะช่าง 44,064.52 , สังคม บริหารฯ ศย. 7,705.71 , บริหารฯ จก. 26,288.71</t>
  </si>
  <si>
    <t>บ.1501/61 ตกเบิก ค่าจ้าง ก.พ.61 วิทย์ กองนโยบายและแผน 9,375.- , กองกิจการพิเศษ 18,750.- , กองบริหารงานบุคคล 18,750.- , สังคม บริหารฯ ศย. 14,333.-</t>
  </si>
  <si>
    <t>เดือน ต.ค.61</t>
  </si>
  <si>
    <t>เดือน พ.ย.61</t>
  </si>
  <si>
    <t>เดือน ธ.ค.61</t>
  </si>
  <si>
    <t>เดือน ม.ค.62</t>
  </si>
  <si>
    <t>เดือน ก.พ.62</t>
  </si>
  <si>
    <t>เดือน มี.ค.62</t>
  </si>
  <si>
    <t>เดือน เม.ย.62</t>
  </si>
  <si>
    <t>เดือน พ.ค.62</t>
  </si>
  <si>
    <t>เดือน มิ.ย.62</t>
  </si>
  <si>
    <t>เดือน ก.ค.62</t>
  </si>
  <si>
    <t>เดือน ส.ค.62</t>
  </si>
  <si>
    <t>เดือน ก.ย.62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</si>
  <si>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</si>
  <si>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</si>
  <si>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</si>
  <si>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</si>
  <si>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</si>
  <si>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</si>
  <si>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</si>
  <si>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</si>
  <si>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</si>
  <si>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</si>
  <si>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</si>
  <si>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</si>
  <si>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ผลผลิต</t>
  </si>
  <si>
    <t>ก.ย.61 สำรองเลี้ยงชีพ</t>
  </si>
  <si>
    <t>ส.ค.61-ก.ย.61</t>
  </si>
  <si>
    <t>น.ส.สุภาพร เพชรัตน์กูล</t>
  </si>
  <si>
    <t>กองทุนเงินทดแทน</t>
  </si>
  <si>
    <t>ธรรมเนียมจัดทำระบบทะเบียนสมาชิก บริษัท หลักทรัพย์จัดการกองทุน กสิกรไทย จำกัด</t>
  </si>
  <si>
    <t>เม.ย.62</t>
  </si>
  <si>
    <t>พ.ค.62</t>
  </si>
  <si>
    <t>มิ.ย.62</t>
  </si>
  <si>
    <t>ก.ค.62</t>
  </si>
  <si>
    <t>ส.ค.62</t>
  </si>
  <si>
    <t>ก.ย.62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</si>
</sst>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TH SarabunPSK"/>
      <family val="2"/>
    </font>
    <font>
      <sz val="16"/>
      <color rgb="FF00B050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0" fontId="3" fillId="0" borderId="0" xfId="0" applyFont="1"/>
    <xf numFmtId="43" fontId="2" fillId="0" borderId="0" xfId="1" applyFont="1"/>
    <xf numFmtId="43" fontId="2" fillId="0" borderId="1" xfId="1" applyFont="1" applyBorder="1"/>
    <xf numFmtId="0" fontId="2" fillId="0" borderId="1" xfId="0" applyFont="1" applyBorder="1"/>
    <xf numFmtId="0" fontId="2" fillId="0" borderId="2" xfId="0" applyFont="1" applyBorder="1"/>
    <xf numFmtId="43" fontId="2" fillId="0" borderId="2" xfId="1" applyFont="1" applyBorder="1"/>
    <xf numFmtId="0" fontId="3" fillId="0" borderId="3" xfId="0" applyFont="1" applyBorder="1"/>
    <xf numFmtId="43" fontId="3" fillId="0" borderId="3" xfId="1" applyFont="1" applyBorder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applyFont="1" applyBorder="1"/>
    <xf numFmtId="43" fontId="2" fillId="0" borderId="1" xfId="0" applyNumberFormat="1" applyFont="1" applyBorder="1"/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7" fontId="3" fillId="2" borderId="1" xfId="1" applyNumberFormat="1" applyFont="1" applyFill="1" applyBorder="1" applyAlignment="1">
      <alignment horizontal="center"/>
    </xf>
    <xf numFmtId="43" fontId="3" fillId="2" borderId="2" xfId="1" applyFont="1" applyFill="1" applyBorder="1" applyAlignment="1">
      <alignment horizontal="center" vertical="center"/>
    </xf>
    <xf numFmtId="0" fontId="3" fillId="0" borderId="7" xfId="0" applyFont="1" applyBorder="1" applyAlignment="1"/>
    <xf numFmtId="0" fontId="3" fillId="0" borderId="0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3" fontId="3" fillId="0" borderId="6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3" fillId="3" borderId="2" xfId="1" applyFont="1" applyFill="1" applyBorder="1" applyAlignment="1">
      <alignment horizontal="center" vertical="center"/>
    </xf>
    <xf numFmtId="43" fontId="2" fillId="0" borderId="3" xfId="1" applyFont="1" applyBorder="1"/>
    <xf numFmtId="43" fontId="2" fillId="0" borderId="3" xfId="0" applyNumberFormat="1" applyFont="1" applyBorder="1"/>
    <xf numFmtId="43" fontId="2" fillId="0" borderId="1" xfId="1" applyFont="1" applyBorder="1" applyProtection="1"/>
    <xf numFmtId="187" fontId="2" fillId="0" borderId="0" xfId="0" applyNumberFormat="1" applyFont="1"/>
    <xf numFmtId="43" fontId="3" fillId="0" borderId="9" xfId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43" fontId="2" fillId="0" borderId="11" xfId="1" applyFont="1" applyBorder="1"/>
    <xf numFmtId="0" fontId="2" fillId="0" borderId="12" xfId="0" applyFont="1" applyBorder="1"/>
    <xf numFmtId="43" fontId="2" fillId="0" borderId="12" xfId="1" applyFont="1" applyBorder="1"/>
    <xf numFmtId="0" fontId="2" fillId="0" borderId="13" xfId="0" applyFont="1" applyBorder="1"/>
    <xf numFmtId="43" fontId="2" fillId="0" borderId="13" xfId="1" applyFont="1" applyBorder="1"/>
    <xf numFmtId="0" fontId="2" fillId="0" borderId="14" xfId="0" applyFont="1" applyBorder="1"/>
    <xf numFmtId="0" fontId="2" fillId="0" borderId="15" xfId="0" applyFont="1" applyBorder="1"/>
    <xf numFmtId="0" fontId="3" fillId="0" borderId="13" xfId="0" applyFont="1" applyBorder="1"/>
    <xf numFmtId="0" fontId="3" fillId="0" borderId="16" xfId="0" applyFont="1" applyBorder="1"/>
    <xf numFmtId="0" fontId="3" fillId="0" borderId="17" xfId="0" applyFont="1" applyBorder="1"/>
    <xf numFmtId="43" fontId="3" fillId="0" borderId="13" xfId="1" applyFont="1" applyBorder="1"/>
    <xf numFmtId="0" fontId="2" fillId="0" borderId="19" xfId="0" applyFont="1" applyBorder="1"/>
    <xf numFmtId="0" fontId="2" fillId="0" borderId="20" xfId="0" applyFont="1" applyBorder="1"/>
    <xf numFmtId="0" fontId="2" fillId="3" borderId="11" xfId="0" applyFont="1" applyFill="1" applyBorder="1"/>
    <xf numFmtId="0" fontId="2" fillId="3" borderId="14" xfId="0" applyFont="1" applyFill="1" applyBorder="1"/>
    <xf numFmtId="0" fontId="2" fillId="3" borderId="15" xfId="0" applyFont="1" applyFill="1" applyBorder="1"/>
    <xf numFmtId="43" fontId="2" fillId="3" borderId="11" xfId="1" applyFont="1" applyFill="1" applyBorder="1"/>
    <xf numFmtId="187" fontId="6" fillId="0" borderId="0" xfId="0" applyNumberFormat="1" applyFont="1"/>
    <xf numFmtId="0" fontId="6" fillId="0" borderId="0" xfId="0" applyFont="1"/>
    <xf numFmtId="0" fontId="2" fillId="4" borderId="15" xfId="0" applyFont="1" applyFill="1" applyBorder="1"/>
    <xf numFmtId="0" fontId="2" fillId="4" borderId="1" xfId="0" applyFont="1" applyFill="1" applyBorder="1"/>
    <xf numFmtId="49" fontId="2" fillId="0" borderId="1" xfId="0" applyNumberFormat="1" applyFont="1" applyBorder="1"/>
    <xf numFmtId="0" fontId="2" fillId="0" borderId="21" xfId="0" applyFont="1" applyBorder="1"/>
    <xf numFmtId="0" fontId="2" fillId="0" borderId="22" xfId="0" applyFont="1" applyBorder="1"/>
    <xf numFmtId="0" fontId="2" fillId="3" borderId="22" xfId="0" applyFont="1" applyFill="1" applyBorder="1"/>
    <xf numFmtId="0" fontId="3" fillId="0" borderId="23" xfId="0" applyFont="1" applyBorder="1"/>
    <xf numFmtId="43" fontId="2" fillId="0" borderId="22" xfId="1" applyFont="1" applyBorder="1"/>
    <xf numFmtId="49" fontId="3" fillId="2" borderId="1" xfId="1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49" fontId="3" fillId="2" borderId="2" xfId="1" applyNumberFormat="1" applyFont="1" applyFill="1" applyBorder="1" applyAlignment="1">
      <alignment horizontal="center" vertical="center"/>
    </xf>
    <xf numFmtId="43" fontId="2" fillId="0" borderId="0" xfId="1" applyFont="1" applyBorder="1"/>
    <xf numFmtId="43" fontId="6" fillId="0" borderId="0" xfId="0" applyNumberFormat="1" applyFont="1"/>
    <xf numFmtId="43" fontId="2" fillId="0" borderId="0" xfId="0" applyNumberFormat="1" applyFont="1"/>
    <xf numFmtId="43" fontId="6" fillId="0" borderId="0" xfId="1" applyFont="1"/>
    <xf numFmtId="0" fontId="2" fillId="0" borderId="0" xfId="0" applyFont="1" applyFill="1"/>
    <xf numFmtId="187" fontId="6" fillId="0" borderId="0" xfId="0" applyNumberFormat="1" applyFont="1" applyFill="1"/>
    <xf numFmtId="43" fontId="2" fillId="0" borderId="0" xfId="1" applyFont="1" applyFill="1"/>
    <xf numFmtId="43" fontId="2" fillId="0" borderId="0" xfId="1" applyFont="1" applyFill="1" applyBorder="1"/>
    <xf numFmtId="43" fontId="6" fillId="0" borderId="0" xfId="1" applyFont="1" applyFill="1"/>
    <xf numFmtId="187" fontId="2" fillId="0" borderId="0" xfId="0" applyNumberFormat="1" applyFont="1" applyFill="1"/>
    <xf numFmtId="0" fontId="2" fillId="0" borderId="26" xfId="0" applyFont="1" applyBorder="1"/>
    <xf numFmtId="0" fontId="2" fillId="0" borderId="27" xfId="0" applyFont="1" applyBorder="1"/>
    <xf numFmtId="0" fontId="7" fillId="0" borderId="15" xfId="0" applyFont="1" applyBorder="1"/>
    <xf numFmtId="0" fontId="7" fillId="4" borderId="15" xfId="0" applyFont="1" applyFill="1" applyBorder="1"/>
    <xf numFmtId="0" fontId="7" fillId="0" borderId="22" xfId="0" applyFont="1" applyBorder="1"/>
    <xf numFmtId="43" fontId="2" fillId="0" borderId="0" xfId="0" applyNumberFormat="1" applyFont="1" applyBorder="1"/>
    <xf numFmtId="43" fontId="3" fillId="0" borderId="3" xfId="0" applyNumberFormat="1" applyFont="1" applyBorder="1"/>
    <xf numFmtId="43" fontId="2" fillId="0" borderId="28" xfId="0" applyNumberFormat="1" applyFont="1" applyBorder="1"/>
    <xf numFmtId="43" fontId="3" fillId="0" borderId="0" xfId="1" applyFont="1" applyBorder="1"/>
    <xf numFmtId="43" fontId="3" fillId="0" borderId="0" xfId="1" applyFont="1"/>
    <xf numFmtId="43" fontId="3" fillId="0" borderId="2" xfId="1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43" fontId="3" fillId="0" borderId="4" xfId="1" applyFont="1" applyBorder="1" applyAlignment="1">
      <alignment horizontal="center"/>
    </xf>
    <xf numFmtId="43" fontId="3" fillId="0" borderId="5" xfId="1" applyFont="1" applyBorder="1" applyAlignment="1">
      <alignment horizontal="center"/>
    </xf>
    <xf numFmtId="43" fontId="3" fillId="0" borderId="6" xfId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3" fontId="3" fillId="2" borderId="4" xfId="1" applyFont="1" applyFill="1" applyBorder="1" applyAlignment="1">
      <alignment horizontal="center"/>
    </xf>
    <xf numFmtId="43" fontId="3" fillId="2" borderId="5" xfId="1" applyFont="1" applyFill="1" applyBorder="1" applyAlignment="1">
      <alignment horizontal="center"/>
    </xf>
    <xf numFmtId="43" fontId="3" fillId="2" borderId="6" xfId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3" fillId="5" borderId="4" xfId="1" applyFont="1" applyFill="1" applyBorder="1" applyAlignment="1">
      <alignment horizontal="center"/>
    </xf>
    <xf numFmtId="43" fontId="3" fillId="5" borderId="5" xfId="1" applyFont="1" applyFill="1" applyBorder="1" applyAlignment="1">
      <alignment horizontal="center"/>
    </xf>
    <xf numFmtId="43" fontId="3" fillId="5" borderId="6" xfId="1" applyFont="1" applyFill="1" applyBorder="1" applyAlignment="1">
      <alignment horizontal="center"/>
    </xf>
    <xf numFmtId="43" fontId="3" fillId="0" borderId="4" xfId="1" applyFont="1" applyFill="1" applyBorder="1" applyAlignment="1">
      <alignment horizontal="center"/>
    </xf>
    <xf numFmtId="43" fontId="3" fillId="0" borderId="5" xfId="1" applyFont="1" applyFill="1" applyBorder="1" applyAlignment="1">
      <alignment horizontal="center"/>
    </xf>
    <xf numFmtId="43" fontId="3" fillId="0" borderId="6" xfId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17" fontId="2" fillId="0" borderId="6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B50"/>
  <sheetViews>
    <sheetView showGridLines="0" zoomScale="80" zoomScaleNormal="80" workbookViewId="0">
      <pane xSplit="3" ySplit="6" topLeftCell="KW34" activePane="bottomRight" state="frozen"/>
      <selection pane="topRight" activeCell="D1" sqref="D1"/>
      <selection pane="bottomLeft" activeCell="A6" sqref="A6"/>
      <selection pane="bottomRight" activeCell="A42" sqref="A42:XFD50"/>
    </sheetView>
  </sheetViews>
  <sheetFormatPr defaultColWidth="9" defaultRowHeight="21" x14ac:dyDescent="0.35"/>
  <cols>
    <col min="1" max="2" width="7.375" style="1" bestFit="1" customWidth="1"/>
    <col min="3" max="3" width="5.75" style="1" bestFit="1" customWidth="1"/>
    <col min="4" max="7" width="12.375" style="3" hidden="1" customWidth="1"/>
    <col min="8" max="9" width="12.75" style="3" hidden="1" customWidth="1"/>
    <col min="10" max="13" width="12.375" style="3" hidden="1" customWidth="1"/>
    <col min="14" max="14" width="12.75" style="3" hidden="1" customWidth="1"/>
    <col min="15" max="15" width="12.375" style="3" hidden="1" customWidth="1"/>
    <col min="16" max="16" width="14.125" style="3" bestFit="1" customWidth="1"/>
    <col min="17" max="20" width="10.125" style="3" hidden="1" customWidth="1"/>
    <col min="21" max="22" width="10.375" style="3" hidden="1" customWidth="1"/>
    <col min="23" max="26" width="10.125" style="3" hidden="1" customWidth="1"/>
    <col min="27" max="27" width="10.375" style="3" hidden="1" customWidth="1"/>
    <col min="28" max="28" width="10.125" style="3" hidden="1" customWidth="1"/>
    <col min="29" max="29" width="10.125" style="3" bestFit="1" customWidth="1"/>
    <col min="30" max="33" width="10.125" style="3" hidden="1" customWidth="1"/>
    <col min="34" max="35" width="10.375" style="3" hidden="1" customWidth="1"/>
    <col min="36" max="39" width="10.125" style="3" hidden="1" customWidth="1"/>
    <col min="40" max="40" width="10.375" style="3" hidden="1" customWidth="1"/>
    <col min="41" max="41" width="10.125" style="3" hidden="1" customWidth="1"/>
    <col min="42" max="42" width="10.125" style="3" bestFit="1" customWidth="1"/>
    <col min="43" max="43" width="14.125" style="3" bestFit="1" customWidth="1"/>
    <col min="44" max="47" width="11.25" style="3" hidden="1" customWidth="1"/>
    <col min="48" max="49" width="11.625" style="3" hidden="1" customWidth="1"/>
    <col min="50" max="53" width="12.375" style="3" hidden="1" customWidth="1"/>
    <col min="54" max="54" width="12.75" style="3" hidden="1" customWidth="1"/>
    <col min="55" max="55" width="12.375" style="3" hidden="1" customWidth="1"/>
    <col min="56" max="56" width="14.125" style="3" bestFit="1" customWidth="1"/>
    <col min="57" max="60" width="10.125" style="3" hidden="1" customWidth="1"/>
    <col min="61" max="62" width="10.375" style="3" hidden="1" customWidth="1"/>
    <col min="63" max="66" width="10.125" style="3" hidden="1" customWidth="1"/>
    <col min="67" max="67" width="10.375" style="3" hidden="1" customWidth="1"/>
    <col min="68" max="68" width="10.125" style="3" hidden="1" customWidth="1"/>
    <col min="69" max="69" width="10.125" style="3" bestFit="1" customWidth="1"/>
    <col min="70" max="73" width="10.125" style="3" hidden="1" customWidth="1"/>
    <col min="74" max="75" width="10.375" style="3" hidden="1" customWidth="1"/>
    <col min="76" max="79" width="10.125" style="3" hidden="1" customWidth="1"/>
    <col min="80" max="80" width="10.375" style="3" hidden="1" customWidth="1"/>
    <col min="81" max="81" width="10.125" style="3" hidden="1" customWidth="1"/>
    <col min="82" max="82" width="10.125" style="3" bestFit="1" customWidth="1"/>
    <col min="83" max="83" width="14.125" style="3" bestFit="1" customWidth="1"/>
    <col min="84" max="87" width="11.25" style="3" hidden="1" customWidth="1"/>
    <col min="88" max="89" width="11.625" style="3" hidden="1" customWidth="1"/>
    <col min="90" max="93" width="11.25" style="3" hidden="1" customWidth="1"/>
    <col min="94" max="94" width="11.625" style="3" hidden="1" customWidth="1"/>
    <col min="95" max="95" width="11.25" style="3" hidden="1" customWidth="1"/>
    <col min="96" max="96" width="12.375" style="3" bestFit="1" customWidth="1"/>
    <col min="97" max="100" width="10.125" style="3" hidden="1" customWidth="1"/>
    <col min="101" max="102" width="10.375" style="3" hidden="1" customWidth="1"/>
    <col min="103" max="106" width="10.125" style="3" hidden="1" customWidth="1"/>
    <col min="107" max="107" width="10.375" style="3" hidden="1" customWidth="1"/>
    <col min="108" max="108" width="10.125" style="3" hidden="1" customWidth="1"/>
    <col min="109" max="109" width="10.125" style="3" bestFit="1" customWidth="1"/>
    <col min="110" max="113" width="8.625" style="3" hidden="1" customWidth="1"/>
    <col min="114" max="115" width="8.75" style="3" hidden="1" customWidth="1"/>
    <col min="116" max="116" width="10.125" style="3" hidden="1" customWidth="1"/>
    <col min="117" max="119" width="8.625" style="3" hidden="1" customWidth="1"/>
    <col min="120" max="120" width="8.75" style="3" hidden="1" customWidth="1"/>
    <col min="121" max="121" width="8.625" style="3" hidden="1" customWidth="1"/>
    <col min="122" max="122" width="10.125" style="3" bestFit="1" customWidth="1"/>
    <col min="123" max="123" width="12.375" style="3" bestFit="1" customWidth="1"/>
    <col min="124" max="127" width="11.25" style="3" hidden="1" customWidth="1"/>
    <col min="128" max="129" width="11.625" style="3" hidden="1" customWidth="1"/>
    <col min="130" max="133" width="11.25" style="3" hidden="1" customWidth="1"/>
    <col min="134" max="134" width="12.375" style="3" hidden="1" customWidth="1"/>
    <col min="135" max="135" width="11.25" style="3" hidden="1" customWidth="1"/>
    <col min="136" max="136" width="12.375" style="3" bestFit="1" customWidth="1"/>
    <col min="137" max="140" width="10.125" style="3" hidden="1" customWidth="1"/>
    <col min="141" max="142" width="10.375" style="3" hidden="1" customWidth="1"/>
    <col min="143" max="146" width="10.125" style="3" hidden="1" customWidth="1"/>
    <col min="147" max="147" width="10.375" style="3" hidden="1" customWidth="1"/>
    <col min="148" max="148" width="10.125" style="3" hidden="1" customWidth="1"/>
    <col min="149" max="149" width="10.125" style="3" bestFit="1" customWidth="1"/>
    <col min="150" max="150" width="7" style="3" hidden="1" customWidth="1"/>
    <col min="151" max="151" width="7.125" style="3" hidden="1" customWidth="1"/>
    <col min="152" max="152" width="6.75" style="3" hidden="1" customWidth="1"/>
    <col min="153" max="153" width="7" style="3" hidden="1" customWidth="1"/>
    <col min="154" max="154" width="7.125" style="3" hidden="1" customWidth="1"/>
    <col min="155" max="155" width="7" style="3" hidden="1" customWidth="1"/>
    <col min="156" max="156" width="7.75" style="3" hidden="1" customWidth="1"/>
    <col min="157" max="157" width="7.125" style="3" hidden="1" customWidth="1"/>
    <col min="158" max="161" width="7" style="3" hidden="1" customWidth="1"/>
    <col min="162" max="162" width="6" style="3" bestFit="1" customWidth="1"/>
    <col min="163" max="163" width="12.375" style="3" bestFit="1" customWidth="1"/>
    <col min="164" max="167" width="11.25" style="3" hidden="1" customWidth="1"/>
    <col min="168" max="169" width="12.75" style="3" hidden="1" customWidth="1"/>
    <col min="170" max="173" width="11.25" style="3" hidden="1" customWidth="1"/>
    <col min="174" max="174" width="12.75" style="3" hidden="1" customWidth="1"/>
    <col min="175" max="175" width="11.25" style="3" hidden="1" customWidth="1"/>
    <col min="176" max="176" width="14.125" style="3" bestFit="1" customWidth="1"/>
    <col min="177" max="180" width="10.125" style="3" hidden="1" customWidth="1"/>
    <col min="181" max="182" width="10.375" style="3" hidden="1" customWidth="1"/>
    <col min="183" max="186" width="10.125" style="3" hidden="1" customWidth="1"/>
    <col min="187" max="187" width="10.375" style="3" hidden="1" customWidth="1"/>
    <col min="188" max="188" width="10.125" style="3" hidden="1" customWidth="1"/>
    <col min="189" max="189" width="10.125" style="3" bestFit="1" customWidth="1"/>
    <col min="190" max="193" width="10.125" style="3" hidden="1" customWidth="1"/>
    <col min="194" max="195" width="10.375" style="3" hidden="1" customWidth="1"/>
    <col min="196" max="199" width="10.125" style="3" hidden="1" customWidth="1"/>
    <col min="200" max="200" width="10.375" style="3" hidden="1" customWidth="1"/>
    <col min="201" max="201" width="10.125" style="3" hidden="1" customWidth="1"/>
    <col min="202" max="202" width="10.125" style="3" bestFit="1" customWidth="1"/>
    <col min="203" max="203" width="14.125" style="3" bestFit="1" customWidth="1"/>
    <col min="204" max="207" width="12.375" style="3" hidden="1" customWidth="1"/>
    <col min="208" max="209" width="12.75" style="3" hidden="1" customWidth="1"/>
    <col min="210" max="213" width="12.375" style="3" hidden="1" customWidth="1"/>
    <col min="214" max="214" width="12.75" style="3" hidden="1" customWidth="1"/>
    <col min="215" max="215" width="12.375" style="3" hidden="1" customWidth="1"/>
    <col min="216" max="216" width="14.125" style="3" bestFit="1" customWidth="1"/>
    <col min="217" max="220" width="10.125" style="3" hidden="1" customWidth="1"/>
    <col min="221" max="222" width="10.375" style="3" hidden="1" customWidth="1"/>
    <col min="223" max="226" width="10.125" style="3" hidden="1" customWidth="1"/>
    <col min="227" max="227" width="10.375" style="3" hidden="1" customWidth="1"/>
    <col min="228" max="228" width="10.125" style="3" hidden="1" customWidth="1"/>
    <col min="229" max="229" width="11.25" style="3" bestFit="1" customWidth="1"/>
    <col min="230" max="233" width="10.125" style="3" hidden="1" customWidth="1"/>
    <col min="234" max="235" width="10.375" style="3" hidden="1" customWidth="1"/>
    <col min="236" max="239" width="10.125" style="3" hidden="1" customWidth="1"/>
    <col min="240" max="240" width="10.375" style="3" hidden="1" customWidth="1"/>
    <col min="241" max="241" width="10.125" style="3" hidden="1" customWidth="1"/>
    <col min="242" max="242" width="11.25" style="3" bestFit="1" customWidth="1"/>
    <col min="243" max="243" width="14.125" style="3" bestFit="1" customWidth="1"/>
    <col min="244" max="246" width="12.375" style="3" hidden="1" customWidth="1"/>
    <col min="247" max="247" width="11.25" style="3" hidden="1" customWidth="1"/>
    <col min="248" max="249" width="11.625" style="3" hidden="1" customWidth="1"/>
    <col min="250" max="252" width="11.25" style="3" hidden="1" customWidth="1"/>
    <col min="253" max="253" width="12.375" style="3" hidden="1" customWidth="1"/>
    <col min="254" max="254" width="11.625" style="3" hidden="1" customWidth="1"/>
    <col min="255" max="255" width="11.25" style="3" hidden="1" customWidth="1"/>
    <col min="256" max="256" width="14.125" style="3" bestFit="1" customWidth="1"/>
    <col min="257" max="260" width="10.125" style="3" hidden="1" customWidth="1"/>
    <col min="261" max="262" width="10.375" style="3" hidden="1" customWidth="1"/>
    <col min="263" max="266" width="10.125" style="3" hidden="1" customWidth="1"/>
    <col min="267" max="267" width="10.375" style="3" hidden="1" customWidth="1"/>
    <col min="268" max="268" width="10.125" style="3" hidden="1" customWidth="1"/>
    <col min="269" max="269" width="10.125" style="3" bestFit="1" customWidth="1"/>
    <col min="270" max="272" width="10.125" style="3" hidden="1" customWidth="1"/>
    <col min="273" max="273" width="8.625" style="3" hidden="1" customWidth="1"/>
    <col min="274" max="274" width="8.75" style="3" hidden="1" customWidth="1"/>
    <col min="275" max="275" width="10.375" style="3" hidden="1" customWidth="1"/>
    <col min="276" max="279" width="10.125" style="3" hidden="1" customWidth="1"/>
    <col min="280" max="280" width="10.375" style="3" hidden="1" customWidth="1"/>
    <col min="281" max="281" width="10.125" style="3" hidden="1" customWidth="1"/>
    <col min="282" max="282" width="10.125" style="3" bestFit="1" customWidth="1"/>
    <col min="283" max="283" width="14.125" style="3" bestFit="1" customWidth="1"/>
    <col min="284" max="287" width="12.375" style="3" hidden="1" customWidth="1"/>
    <col min="288" max="289" width="12.75" style="3" hidden="1" customWidth="1"/>
    <col min="290" max="293" width="12.375" style="3" hidden="1" customWidth="1"/>
    <col min="294" max="294" width="12.75" style="3" hidden="1" customWidth="1"/>
    <col min="295" max="295" width="12.375" style="3" hidden="1" customWidth="1"/>
    <col min="296" max="296" width="14.125" style="3" bestFit="1" customWidth="1"/>
    <col min="297" max="300" width="10.125" style="3" hidden="1" customWidth="1"/>
    <col min="301" max="302" width="10.375" style="3" hidden="1" customWidth="1"/>
    <col min="303" max="306" width="10.125" style="3" hidden="1" customWidth="1"/>
    <col min="307" max="307" width="10.375" style="3" hidden="1" customWidth="1"/>
    <col min="308" max="308" width="10.125" style="3" hidden="1" customWidth="1"/>
    <col min="309" max="309" width="11.25" style="3" bestFit="1" customWidth="1"/>
    <col min="310" max="313" width="8.625" style="3" hidden="1" customWidth="1"/>
    <col min="314" max="315" width="8.75" style="3" hidden="1" customWidth="1"/>
    <col min="316" max="318" width="10.125" style="3" hidden="1" customWidth="1"/>
    <col min="319" max="319" width="8.625" style="3" hidden="1" customWidth="1"/>
    <col min="320" max="320" width="8.75" style="3" hidden="1" customWidth="1"/>
    <col min="321" max="321" width="8.625" style="3" hidden="1" customWidth="1"/>
    <col min="322" max="322" width="10.125" style="3" bestFit="1" customWidth="1"/>
    <col min="323" max="323" width="14.125" style="3" bestFit="1" customWidth="1"/>
    <col min="324" max="327" width="11.25" style="3" hidden="1" customWidth="1"/>
    <col min="328" max="329" width="11.625" style="3" hidden="1" customWidth="1"/>
    <col min="330" max="333" width="12.375" style="3" hidden="1" customWidth="1"/>
    <col min="334" max="334" width="12.75" style="3" hidden="1" customWidth="1"/>
    <col min="335" max="335" width="12.375" style="3" hidden="1" customWidth="1"/>
    <col min="336" max="336" width="14.125" style="3" bestFit="1" customWidth="1"/>
    <col min="337" max="340" width="10.125" style="3" hidden="1" customWidth="1"/>
    <col min="341" max="342" width="10.375" style="3" hidden="1" customWidth="1"/>
    <col min="343" max="346" width="10.125" style="3" hidden="1" customWidth="1"/>
    <col min="347" max="347" width="10.375" style="3" hidden="1" customWidth="1"/>
    <col min="348" max="348" width="10.125" style="3" hidden="1" customWidth="1"/>
    <col min="349" max="349" width="10.125" style="3" bestFit="1" customWidth="1"/>
    <col min="350" max="353" width="10.125" style="3" hidden="1" customWidth="1"/>
    <col min="354" max="355" width="10.375" style="3" hidden="1" customWidth="1"/>
    <col min="356" max="359" width="10.125" style="3" hidden="1" customWidth="1"/>
    <col min="360" max="360" width="10.375" style="3" hidden="1" customWidth="1"/>
    <col min="361" max="361" width="10.125" style="3" hidden="1" customWidth="1"/>
    <col min="362" max="362" width="10.125" style="3" bestFit="1" customWidth="1"/>
    <col min="363" max="363" width="14.125" style="3" bestFit="1" customWidth="1"/>
    <col min="364" max="367" width="12.375" style="3" hidden="1" customWidth="1"/>
    <col min="368" max="369" width="12.75" style="3" hidden="1" customWidth="1"/>
    <col min="370" max="373" width="12.375" style="3" hidden="1" customWidth="1"/>
    <col min="374" max="374" width="12.75" style="3" hidden="1" customWidth="1"/>
    <col min="375" max="375" width="12.375" style="3" hidden="1" customWidth="1"/>
    <col min="376" max="376" width="14.125" style="3" bestFit="1" customWidth="1"/>
    <col min="377" max="379" width="10.125" style="3" hidden="1" customWidth="1"/>
    <col min="380" max="380" width="11.25" style="3" hidden="1" customWidth="1"/>
    <col min="381" max="382" width="11.625" style="3" hidden="1" customWidth="1"/>
    <col min="383" max="386" width="10.125" style="3" hidden="1" customWidth="1"/>
    <col min="387" max="387" width="11.625" style="3" hidden="1" customWidth="1"/>
    <col min="388" max="388" width="10.125" style="3" hidden="1" customWidth="1"/>
    <col min="389" max="389" width="11.25" style="3" bestFit="1" customWidth="1"/>
    <col min="390" max="392" width="10.125" style="3" hidden="1" customWidth="1"/>
    <col min="393" max="393" width="11.25" style="3" hidden="1" customWidth="1"/>
    <col min="394" max="395" width="10.375" style="3" hidden="1" customWidth="1"/>
    <col min="396" max="399" width="10.125" style="3" hidden="1" customWidth="1"/>
    <col min="400" max="400" width="10.375" style="3" hidden="1" customWidth="1"/>
    <col min="401" max="401" width="10.125" style="3" hidden="1" customWidth="1"/>
    <col min="402" max="402" width="11.25" style="3" bestFit="1" customWidth="1"/>
    <col min="403" max="403" width="14.125" style="3" bestFit="1" customWidth="1"/>
    <col min="404" max="407" width="10.125" style="3" hidden="1" customWidth="1"/>
    <col min="408" max="409" width="10.375" style="3" hidden="1" customWidth="1"/>
    <col min="410" max="413" width="10.125" style="3" hidden="1" customWidth="1"/>
    <col min="414" max="414" width="10.375" style="3" hidden="1" customWidth="1"/>
    <col min="415" max="415" width="10.125" style="3" hidden="1" customWidth="1"/>
    <col min="416" max="416" width="12.75" style="3" customWidth="1"/>
    <col min="417" max="417" width="14.125" style="1" bestFit="1" customWidth="1"/>
    <col min="418" max="418" width="13.75" style="1" bestFit="1" customWidth="1"/>
    <col min="419" max="16384" width="9" style="1"/>
  </cols>
  <sheetData>
    <row r="1" spans="1:418" x14ac:dyDescent="0.35">
      <c r="A1" s="18" t="s">
        <v>10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</row>
    <row r="2" spans="1:418" s="12" customForma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</row>
    <row r="3" spans="1:418" s="2" customFormat="1" x14ac:dyDescent="0.35">
      <c r="A3" s="92" t="s">
        <v>0</v>
      </c>
      <c r="B3" s="92" t="s">
        <v>14</v>
      </c>
      <c r="C3" s="14"/>
      <c r="D3" s="89" t="s">
        <v>11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12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13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22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23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24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1"/>
      <c r="IJ3" s="89" t="s">
        <v>25</v>
      </c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1"/>
      <c r="JX3" s="89" t="s">
        <v>26</v>
      </c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1"/>
      <c r="LL3" s="89" t="s">
        <v>27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 t="s">
        <v>56</v>
      </c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1"/>
      <c r="ON3" s="89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1"/>
      <c r="PA3" s="92" t="s">
        <v>16</v>
      </c>
    </row>
    <row r="4" spans="1:418" s="2" customFormat="1" x14ac:dyDescent="0.35">
      <c r="A4" s="93"/>
      <c r="B4" s="93"/>
      <c r="C4" s="15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94" t="s">
        <v>5</v>
      </c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6"/>
      <c r="NM4" s="89" t="s">
        <v>6</v>
      </c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1"/>
      <c r="NZ4" s="89" t="s">
        <v>7</v>
      </c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1"/>
      <c r="OM4" s="87" t="s">
        <v>227</v>
      </c>
      <c r="ON4" s="89" t="s">
        <v>87</v>
      </c>
      <c r="OO4" s="90"/>
      <c r="OP4" s="90"/>
      <c r="OQ4" s="90"/>
      <c r="OR4" s="90"/>
      <c r="OS4" s="90"/>
      <c r="OT4" s="90"/>
      <c r="OU4" s="90"/>
      <c r="OV4" s="90"/>
      <c r="OW4" s="90"/>
      <c r="OX4" s="90"/>
      <c r="OY4" s="90"/>
      <c r="OZ4" s="91"/>
      <c r="PA4" s="93"/>
    </row>
    <row r="5" spans="1:418" s="2" customFormat="1" x14ac:dyDescent="0.35">
      <c r="A5" s="15"/>
      <c r="B5" s="15"/>
      <c r="C5" s="15"/>
      <c r="D5" s="62" t="s">
        <v>348</v>
      </c>
      <c r="E5" s="62" t="s">
        <v>349</v>
      </c>
      <c r="F5" s="62" t="s">
        <v>350</v>
      </c>
      <c r="G5" s="62" t="s">
        <v>351</v>
      </c>
      <c r="H5" s="62" t="s">
        <v>352</v>
      </c>
      <c r="I5" s="62" t="s">
        <v>353</v>
      </c>
      <c r="J5" s="62" t="s">
        <v>354</v>
      </c>
      <c r="K5" s="62" t="s">
        <v>355</v>
      </c>
      <c r="L5" s="62" t="s">
        <v>356</v>
      </c>
      <c r="M5" s="62" t="s">
        <v>357</v>
      </c>
      <c r="N5" s="62" t="s">
        <v>358</v>
      </c>
      <c r="O5" s="62" t="s">
        <v>359</v>
      </c>
      <c r="P5" s="66" t="s">
        <v>16</v>
      </c>
      <c r="Q5" s="62" t="str">
        <f>+D5</f>
        <v>ต.ค.</v>
      </c>
      <c r="R5" s="62" t="str">
        <f>+E5</f>
        <v>พ.ย.</v>
      </c>
      <c r="S5" s="62" t="str">
        <f>+F5</f>
        <v>ธ.ค.</v>
      </c>
      <c r="T5" s="62" t="str">
        <f>+G5</f>
        <v>ม.ค.</v>
      </c>
      <c r="U5" s="62" t="str">
        <f>+H5</f>
        <v>ก.พ.</v>
      </c>
      <c r="V5" s="62" t="str">
        <f t="shared" ref="V5:AC5" si="0">+I5</f>
        <v>มี.ค.</v>
      </c>
      <c r="W5" s="62" t="str">
        <f t="shared" si="0"/>
        <v>เม.ย.</v>
      </c>
      <c r="X5" s="62" t="str">
        <f t="shared" si="0"/>
        <v>พ.ค.</v>
      </c>
      <c r="Y5" s="62" t="str">
        <f t="shared" si="0"/>
        <v>มิ.ย.</v>
      </c>
      <c r="Z5" s="62" t="str">
        <f t="shared" si="0"/>
        <v>ก.ค.</v>
      </c>
      <c r="AA5" s="62" t="str">
        <f t="shared" si="0"/>
        <v>ส.ค.</v>
      </c>
      <c r="AB5" s="62" t="str">
        <f t="shared" si="0"/>
        <v>ก.ย.</v>
      </c>
      <c r="AC5" s="62" t="str">
        <f t="shared" si="0"/>
        <v>รวม</v>
      </c>
      <c r="AD5" s="62" t="str">
        <f>+Q5</f>
        <v>ต.ค.</v>
      </c>
      <c r="AE5" s="62" t="str">
        <f>+R5</f>
        <v>พ.ย.</v>
      </c>
      <c r="AF5" s="62" t="str">
        <f t="shared" ref="AF5:AP5" si="1">+S5</f>
        <v>ธ.ค.</v>
      </c>
      <c r="AG5" s="62" t="str">
        <f t="shared" si="1"/>
        <v>ม.ค.</v>
      </c>
      <c r="AH5" s="62" t="str">
        <f t="shared" si="1"/>
        <v>ก.พ.</v>
      </c>
      <c r="AI5" s="62" t="str">
        <f t="shared" si="1"/>
        <v>มี.ค.</v>
      </c>
      <c r="AJ5" s="62" t="str">
        <f t="shared" si="1"/>
        <v>เม.ย.</v>
      </c>
      <c r="AK5" s="62" t="str">
        <f t="shared" si="1"/>
        <v>พ.ค.</v>
      </c>
      <c r="AL5" s="62" t="str">
        <f t="shared" si="1"/>
        <v>มิ.ย.</v>
      </c>
      <c r="AM5" s="62" t="str">
        <f t="shared" si="1"/>
        <v>ก.ค.</v>
      </c>
      <c r="AN5" s="62" t="str">
        <f t="shared" si="1"/>
        <v>ส.ค.</v>
      </c>
      <c r="AO5" s="62" t="str">
        <f t="shared" si="1"/>
        <v>ก.ย.</v>
      </c>
      <c r="AP5" s="62" t="str">
        <f t="shared" si="1"/>
        <v>รวม</v>
      </c>
      <c r="AQ5" s="88"/>
      <c r="AR5" s="62" t="str">
        <f>+AD5</f>
        <v>ต.ค.</v>
      </c>
      <c r="AS5" s="62" t="str">
        <f>+AE5</f>
        <v>พ.ย.</v>
      </c>
      <c r="AT5" s="62" t="str">
        <f t="shared" ref="AT5:BD5" si="2">+AF5</f>
        <v>ธ.ค.</v>
      </c>
      <c r="AU5" s="62" t="str">
        <f t="shared" si="2"/>
        <v>ม.ค.</v>
      </c>
      <c r="AV5" s="62" t="str">
        <f t="shared" si="2"/>
        <v>ก.พ.</v>
      </c>
      <c r="AW5" s="62" t="str">
        <f t="shared" si="2"/>
        <v>มี.ค.</v>
      </c>
      <c r="AX5" s="62" t="str">
        <f t="shared" si="2"/>
        <v>เม.ย.</v>
      </c>
      <c r="AY5" s="62" t="str">
        <f t="shared" si="2"/>
        <v>พ.ค.</v>
      </c>
      <c r="AZ5" s="62" t="str">
        <f t="shared" si="2"/>
        <v>มิ.ย.</v>
      </c>
      <c r="BA5" s="62" t="str">
        <f t="shared" si="2"/>
        <v>ก.ค.</v>
      </c>
      <c r="BB5" s="62" t="str">
        <f t="shared" si="2"/>
        <v>ส.ค.</v>
      </c>
      <c r="BC5" s="62" t="str">
        <f t="shared" si="2"/>
        <v>ก.ย.</v>
      </c>
      <c r="BD5" s="62" t="str">
        <f t="shared" si="2"/>
        <v>รวม</v>
      </c>
      <c r="BE5" s="62" t="str">
        <f>+AR5</f>
        <v>ต.ค.</v>
      </c>
      <c r="BF5" s="62" t="str">
        <f t="shared" ref="BF5:BQ5" si="3">+AS5</f>
        <v>พ.ย.</v>
      </c>
      <c r="BG5" s="62" t="str">
        <f t="shared" si="3"/>
        <v>ธ.ค.</v>
      </c>
      <c r="BH5" s="62" t="str">
        <f t="shared" si="3"/>
        <v>ม.ค.</v>
      </c>
      <c r="BI5" s="62" t="str">
        <f t="shared" si="3"/>
        <v>ก.พ.</v>
      </c>
      <c r="BJ5" s="62" t="str">
        <f t="shared" si="3"/>
        <v>มี.ค.</v>
      </c>
      <c r="BK5" s="62" t="str">
        <f t="shared" si="3"/>
        <v>เม.ย.</v>
      </c>
      <c r="BL5" s="62" t="str">
        <f t="shared" si="3"/>
        <v>พ.ค.</v>
      </c>
      <c r="BM5" s="62" t="str">
        <f t="shared" si="3"/>
        <v>มิ.ย.</v>
      </c>
      <c r="BN5" s="62" t="str">
        <f t="shared" si="3"/>
        <v>ก.ค.</v>
      </c>
      <c r="BO5" s="62" t="str">
        <f t="shared" si="3"/>
        <v>ส.ค.</v>
      </c>
      <c r="BP5" s="62" t="str">
        <f t="shared" si="3"/>
        <v>ก.ย.</v>
      </c>
      <c r="BQ5" s="62" t="str">
        <f t="shared" si="3"/>
        <v>รวม</v>
      </c>
      <c r="BR5" s="62" t="str">
        <f>+BE5</f>
        <v>ต.ค.</v>
      </c>
      <c r="BS5" s="62" t="str">
        <f t="shared" ref="BS5:CD5" si="4">+BF5</f>
        <v>พ.ย.</v>
      </c>
      <c r="BT5" s="62" t="str">
        <f t="shared" si="4"/>
        <v>ธ.ค.</v>
      </c>
      <c r="BU5" s="62" t="str">
        <f t="shared" si="4"/>
        <v>ม.ค.</v>
      </c>
      <c r="BV5" s="62" t="str">
        <f t="shared" si="4"/>
        <v>ก.พ.</v>
      </c>
      <c r="BW5" s="62" t="str">
        <f t="shared" si="4"/>
        <v>มี.ค.</v>
      </c>
      <c r="BX5" s="62" t="str">
        <f t="shared" si="4"/>
        <v>เม.ย.</v>
      </c>
      <c r="BY5" s="62" t="str">
        <f t="shared" si="4"/>
        <v>พ.ค.</v>
      </c>
      <c r="BZ5" s="62" t="str">
        <f t="shared" si="4"/>
        <v>มิ.ย.</v>
      </c>
      <c r="CA5" s="62" t="str">
        <f t="shared" si="4"/>
        <v>ก.ค.</v>
      </c>
      <c r="CB5" s="62" t="str">
        <f t="shared" si="4"/>
        <v>ส.ค.</v>
      </c>
      <c r="CC5" s="62" t="str">
        <f t="shared" si="4"/>
        <v>ก.ย.</v>
      </c>
      <c r="CD5" s="62" t="str">
        <f t="shared" si="4"/>
        <v>รวม</v>
      </c>
      <c r="CE5" s="88"/>
      <c r="CF5" s="62" t="str">
        <f>+BR5</f>
        <v>ต.ค.</v>
      </c>
      <c r="CG5" s="62" t="str">
        <f t="shared" ref="CG5:CR5" si="5">+BS5</f>
        <v>พ.ย.</v>
      </c>
      <c r="CH5" s="62" t="str">
        <f t="shared" si="5"/>
        <v>ธ.ค.</v>
      </c>
      <c r="CI5" s="62" t="str">
        <f t="shared" si="5"/>
        <v>ม.ค.</v>
      </c>
      <c r="CJ5" s="62" t="str">
        <f t="shared" si="5"/>
        <v>ก.พ.</v>
      </c>
      <c r="CK5" s="62" t="str">
        <f t="shared" si="5"/>
        <v>มี.ค.</v>
      </c>
      <c r="CL5" s="62" t="str">
        <f t="shared" si="5"/>
        <v>เม.ย.</v>
      </c>
      <c r="CM5" s="62" t="str">
        <f t="shared" si="5"/>
        <v>พ.ค.</v>
      </c>
      <c r="CN5" s="62" t="str">
        <f t="shared" si="5"/>
        <v>มิ.ย.</v>
      </c>
      <c r="CO5" s="62" t="str">
        <f t="shared" si="5"/>
        <v>ก.ค.</v>
      </c>
      <c r="CP5" s="62" t="str">
        <f t="shared" si="5"/>
        <v>ส.ค.</v>
      </c>
      <c r="CQ5" s="62" t="str">
        <f t="shared" si="5"/>
        <v>ก.ย.</v>
      </c>
      <c r="CR5" s="62" t="str">
        <f t="shared" si="5"/>
        <v>รวม</v>
      </c>
      <c r="CS5" s="62" t="str">
        <f>+CF5</f>
        <v>ต.ค.</v>
      </c>
      <c r="CT5" s="62" t="str">
        <f t="shared" ref="CT5:DE5" si="6">+CG5</f>
        <v>พ.ย.</v>
      </c>
      <c r="CU5" s="62" t="str">
        <f t="shared" si="6"/>
        <v>ธ.ค.</v>
      </c>
      <c r="CV5" s="62" t="str">
        <f t="shared" si="6"/>
        <v>ม.ค.</v>
      </c>
      <c r="CW5" s="62" t="str">
        <f t="shared" si="6"/>
        <v>ก.พ.</v>
      </c>
      <c r="CX5" s="62" t="str">
        <f t="shared" si="6"/>
        <v>มี.ค.</v>
      </c>
      <c r="CY5" s="62" t="str">
        <f t="shared" si="6"/>
        <v>เม.ย.</v>
      </c>
      <c r="CZ5" s="62" t="str">
        <f t="shared" si="6"/>
        <v>พ.ค.</v>
      </c>
      <c r="DA5" s="62" t="str">
        <f t="shared" si="6"/>
        <v>มิ.ย.</v>
      </c>
      <c r="DB5" s="62" t="str">
        <f t="shared" si="6"/>
        <v>ก.ค.</v>
      </c>
      <c r="DC5" s="62" t="str">
        <f t="shared" si="6"/>
        <v>ส.ค.</v>
      </c>
      <c r="DD5" s="62" t="str">
        <f t="shared" si="6"/>
        <v>ก.ย.</v>
      </c>
      <c r="DE5" s="62" t="str">
        <f t="shared" si="6"/>
        <v>รวม</v>
      </c>
      <c r="DF5" s="62" t="str">
        <f>+CS5</f>
        <v>ต.ค.</v>
      </c>
      <c r="DG5" s="62" t="str">
        <f t="shared" ref="DG5:DR5" si="7">+CT5</f>
        <v>พ.ย.</v>
      </c>
      <c r="DH5" s="62" t="str">
        <f t="shared" si="7"/>
        <v>ธ.ค.</v>
      </c>
      <c r="DI5" s="62" t="str">
        <f t="shared" si="7"/>
        <v>ม.ค.</v>
      </c>
      <c r="DJ5" s="62" t="str">
        <f t="shared" si="7"/>
        <v>ก.พ.</v>
      </c>
      <c r="DK5" s="62" t="str">
        <f t="shared" si="7"/>
        <v>มี.ค.</v>
      </c>
      <c r="DL5" s="62" t="str">
        <f t="shared" si="7"/>
        <v>เม.ย.</v>
      </c>
      <c r="DM5" s="62" t="str">
        <f t="shared" si="7"/>
        <v>พ.ค.</v>
      </c>
      <c r="DN5" s="62" t="str">
        <f t="shared" si="7"/>
        <v>มิ.ย.</v>
      </c>
      <c r="DO5" s="62" t="str">
        <f t="shared" si="7"/>
        <v>ก.ค.</v>
      </c>
      <c r="DP5" s="62" t="str">
        <f t="shared" si="7"/>
        <v>ส.ค.</v>
      </c>
      <c r="DQ5" s="62" t="str">
        <f t="shared" si="7"/>
        <v>ก.ย.</v>
      </c>
      <c r="DR5" s="62" t="str">
        <f t="shared" si="7"/>
        <v>รวม</v>
      </c>
      <c r="DS5" s="88"/>
      <c r="DT5" s="62" t="str">
        <f>+DF5</f>
        <v>ต.ค.</v>
      </c>
      <c r="DU5" s="62" t="str">
        <f t="shared" ref="DU5:DZ5" si="8">+DG5</f>
        <v>พ.ย.</v>
      </c>
      <c r="DV5" s="62" t="str">
        <f t="shared" si="8"/>
        <v>ธ.ค.</v>
      </c>
      <c r="DW5" s="62" t="str">
        <f t="shared" si="8"/>
        <v>ม.ค.</v>
      </c>
      <c r="DX5" s="62" t="str">
        <f t="shared" si="8"/>
        <v>ก.พ.</v>
      </c>
      <c r="DY5" s="62" t="str">
        <f t="shared" si="8"/>
        <v>มี.ค.</v>
      </c>
      <c r="DZ5" s="62" t="str">
        <f t="shared" si="8"/>
        <v>เม.ย.</v>
      </c>
      <c r="EA5" s="62" t="str">
        <f>+DM5</f>
        <v>พ.ค.</v>
      </c>
      <c r="EB5" s="62" t="str">
        <f t="shared" ref="EB5" si="9">+DN5</f>
        <v>มิ.ย.</v>
      </c>
      <c r="EC5" s="62" t="str">
        <f t="shared" ref="EC5" si="10">+DO5</f>
        <v>ก.ค.</v>
      </c>
      <c r="ED5" s="62" t="str">
        <f t="shared" ref="ED5" si="11">+DP5</f>
        <v>ส.ค.</v>
      </c>
      <c r="EE5" s="62" t="str">
        <f t="shared" ref="EE5" si="12">+DQ5</f>
        <v>ก.ย.</v>
      </c>
      <c r="EF5" s="62" t="str">
        <f t="shared" ref="EF5" si="13">+DR5</f>
        <v>รวม</v>
      </c>
      <c r="EG5" s="62" t="str">
        <f>+DT5</f>
        <v>ต.ค.</v>
      </c>
      <c r="EH5" s="62" t="str">
        <f t="shared" ref="EH5:ES5" si="14">+DU5</f>
        <v>พ.ย.</v>
      </c>
      <c r="EI5" s="62" t="str">
        <f t="shared" si="14"/>
        <v>ธ.ค.</v>
      </c>
      <c r="EJ5" s="62" t="str">
        <f t="shared" si="14"/>
        <v>ม.ค.</v>
      </c>
      <c r="EK5" s="62" t="str">
        <f t="shared" si="14"/>
        <v>ก.พ.</v>
      </c>
      <c r="EL5" s="62" t="str">
        <f t="shared" si="14"/>
        <v>มี.ค.</v>
      </c>
      <c r="EM5" s="62" t="str">
        <f t="shared" si="14"/>
        <v>เม.ย.</v>
      </c>
      <c r="EN5" s="62" t="str">
        <f t="shared" si="14"/>
        <v>พ.ค.</v>
      </c>
      <c r="EO5" s="62" t="str">
        <f t="shared" si="14"/>
        <v>มิ.ย.</v>
      </c>
      <c r="EP5" s="62" t="str">
        <f t="shared" si="14"/>
        <v>ก.ค.</v>
      </c>
      <c r="EQ5" s="62" t="str">
        <f t="shared" si="14"/>
        <v>ส.ค.</v>
      </c>
      <c r="ER5" s="62" t="str">
        <f t="shared" si="14"/>
        <v>ก.ย.</v>
      </c>
      <c r="ES5" s="62" t="str">
        <f t="shared" si="14"/>
        <v>รวม</v>
      </c>
      <c r="ET5" s="62" t="str">
        <f>+EG5</f>
        <v>ต.ค.</v>
      </c>
      <c r="EU5" s="62" t="str">
        <f t="shared" ref="EU5:FF5" si="15">+EH5</f>
        <v>พ.ย.</v>
      </c>
      <c r="EV5" s="62" t="str">
        <f t="shared" si="15"/>
        <v>ธ.ค.</v>
      </c>
      <c r="EW5" s="62" t="str">
        <f t="shared" si="15"/>
        <v>ม.ค.</v>
      </c>
      <c r="EX5" s="62" t="str">
        <f t="shared" si="15"/>
        <v>ก.พ.</v>
      </c>
      <c r="EY5" s="62" t="str">
        <f t="shared" si="15"/>
        <v>มี.ค.</v>
      </c>
      <c r="EZ5" s="62" t="str">
        <f t="shared" si="15"/>
        <v>เม.ย.</v>
      </c>
      <c r="FA5" s="62" t="str">
        <f t="shared" si="15"/>
        <v>พ.ค.</v>
      </c>
      <c r="FB5" s="62" t="str">
        <f t="shared" si="15"/>
        <v>มิ.ย.</v>
      </c>
      <c r="FC5" s="62" t="str">
        <f t="shared" si="15"/>
        <v>ก.ค.</v>
      </c>
      <c r="FD5" s="62" t="str">
        <f t="shared" si="15"/>
        <v>ส.ค.</v>
      </c>
      <c r="FE5" s="62" t="str">
        <f t="shared" si="15"/>
        <v>ก.ย.</v>
      </c>
      <c r="FF5" s="62" t="str">
        <f t="shared" si="15"/>
        <v>รวม</v>
      </c>
      <c r="FG5" s="88"/>
      <c r="FH5" s="62" t="str">
        <f>+ET5</f>
        <v>ต.ค.</v>
      </c>
      <c r="FI5" s="62" t="str">
        <f t="shared" ref="FI5:FT5" si="16">+EU5</f>
        <v>พ.ย.</v>
      </c>
      <c r="FJ5" s="62" t="str">
        <f t="shared" si="16"/>
        <v>ธ.ค.</v>
      </c>
      <c r="FK5" s="62" t="str">
        <f t="shared" si="16"/>
        <v>ม.ค.</v>
      </c>
      <c r="FL5" s="62" t="str">
        <f t="shared" si="16"/>
        <v>ก.พ.</v>
      </c>
      <c r="FM5" s="62" t="str">
        <f t="shared" si="16"/>
        <v>มี.ค.</v>
      </c>
      <c r="FN5" s="62" t="str">
        <f t="shared" si="16"/>
        <v>เม.ย.</v>
      </c>
      <c r="FO5" s="62" t="str">
        <f t="shared" si="16"/>
        <v>พ.ค.</v>
      </c>
      <c r="FP5" s="62" t="str">
        <f t="shared" si="16"/>
        <v>มิ.ย.</v>
      </c>
      <c r="FQ5" s="62" t="str">
        <f t="shared" si="16"/>
        <v>ก.ค.</v>
      </c>
      <c r="FR5" s="62" t="str">
        <f t="shared" si="16"/>
        <v>ส.ค.</v>
      </c>
      <c r="FS5" s="62" t="str">
        <f t="shared" si="16"/>
        <v>ก.ย.</v>
      </c>
      <c r="FT5" s="62" t="str">
        <f t="shared" si="16"/>
        <v>รวม</v>
      </c>
      <c r="FU5" s="62" t="str">
        <f>+FH5</f>
        <v>ต.ค.</v>
      </c>
      <c r="FV5" s="62" t="str">
        <f t="shared" ref="FV5:GG5" si="17">+FI5</f>
        <v>พ.ย.</v>
      </c>
      <c r="FW5" s="62" t="str">
        <f t="shared" si="17"/>
        <v>ธ.ค.</v>
      </c>
      <c r="FX5" s="62" t="str">
        <f t="shared" si="17"/>
        <v>ม.ค.</v>
      </c>
      <c r="FY5" s="62" t="str">
        <f t="shared" si="17"/>
        <v>ก.พ.</v>
      </c>
      <c r="FZ5" s="62" t="str">
        <f t="shared" si="17"/>
        <v>มี.ค.</v>
      </c>
      <c r="GA5" s="62" t="str">
        <f t="shared" si="17"/>
        <v>เม.ย.</v>
      </c>
      <c r="GB5" s="62" t="str">
        <f t="shared" si="17"/>
        <v>พ.ค.</v>
      </c>
      <c r="GC5" s="62" t="str">
        <f t="shared" si="17"/>
        <v>มิ.ย.</v>
      </c>
      <c r="GD5" s="62" t="str">
        <f t="shared" si="17"/>
        <v>ก.ค.</v>
      </c>
      <c r="GE5" s="62" t="str">
        <f t="shared" si="17"/>
        <v>ส.ค.</v>
      </c>
      <c r="GF5" s="62" t="str">
        <f t="shared" si="17"/>
        <v>ก.ย.</v>
      </c>
      <c r="GG5" s="62" t="str">
        <f t="shared" si="17"/>
        <v>รวม</v>
      </c>
      <c r="GH5" s="62" t="str">
        <f>+FU5</f>
        <v>ต.ค.</v>
      </c>
      <c r="GI5" s="62" t="str">
        <f t="shared" ref="GI5:GT5" si="18">+FV5</f>
        <v>พ.ย.</v>
      </c>
      <c r="GJ5" s="62" t="str">
        <f t="shared" si="18"/>
        <v>ธ.ค.</v>
      </c>
      <c r="GK5" s="62" t="str">
        <f t="shared" si="18"/>
        <v>ม.ค.</v>
      </c>
      <c r="GL5" s="62" t="str">
        <f t="shared" si="18"/>
        <v>ก.พ.</v>
      </c>
      <c r="GM5" s="62" t="str">
        <f t="shared" si="18"/>
        <v>มี.ค.</v>
      </c>
      <c r="GN5" s="62" t="str">
        <f t="shared" si="18"/>
        <v>เม.ย.</v>
      </c>
      <c r="GO5" s="62" t="str">
        <f t="shared" si="18"/>
        <v>พ.ค.</v>
      </c>
      <c r="GP5" s="62" t="str">
        <f t="shared" si="18"/>
        <v>มิ.ย.</v>
      </c>
      <c r="GQ5" s="62" t="str">
        <f t="shared" si="18"/>
        <v>ก.ค.</v>
      </c>
      <c r="GR5" s="62" t="str">
        <f t="shared" si="18"/>
        <v>ส.ค.</v>
      </c>
      <c r="GS5" s="62" t="str">
        <f t="shared" si="18"/>
        <v>ก.ย.</v>
      </c>
      <c r="GT5" s="62" t="str">
        <f t="shared" si="18"/>
        <v>รวม</v>
      </c>
      <c r="GU5" s="88"/>
      <c r="GV5" s="62" t="str">
        <f>+GH5</f>
        <v>ต.ค.</v>
      </c>
      <c r="GW5" s="62" t="str">
        <f t="shared" ref="GW5:HH5" si="19">+GI5</f>
        <v>พ.ย.</v>
      </c>
      <c r="GX5" s="62" t="str">
        <f t="shared" si="19"/>
        <v>ธ.ค.</v>
      </c>
      <c r="GY5" s="62" t="str">
        <f t="shared" si="19"/>
        <v>ม.ค.</v>
      </c>
      <c r="GZ5" s="62" t="str">
        <f t="shared" si="19"/>
        <v>ก.พ.</v>
      </c>
      <c r="HA5" s="62" t="str">
        <f t="shared" si="19"/>
        <v>มี.ค.</v>
      </c>
      <c r="HB5" s="62" t="str">
        <f t="shared" si="19"/>
        <v>เม.ย.</v>
      </c>
      <c r="HC5" s="62" t="str">
        <f t="shared" si="19"/>
        <v>พ.ค.</v>
      </c>
      <c r="HD5" s="62" t="str">
        <f t="shared" si="19"/>
        <v>มิ.ย.</v>
      </c>
      <c r="HE5" s="62" t="str">
        <f t="shared" si="19"/>
        <v>ก.ค.</v>
      </c>
      <c r="HF5" s="62" t="str">
        <f t="shared" si="19"/>
        <v>ส.ค.</v>
      </c>
      <c r="HG5" s="62" t="str">
        <f t="shared" si="19"/>
        <v>ก.ย.</v>
      </c>
      <c r="HH5" s="62" t="str">
        <f t="shared" si="19"/>
        <v>รวม</v>
      </c>
      <c r="HI5" s="62" t="str">
        <f>+GV5</f>
        <v>ต.ค.</v>
      </c>
      <c r="HJ5" s="62" t="str">
        <f t="shared" ref="HJ5:HU5" si="20">+GW5</f>
        <v>พ.ย.</v>
      </c>
      <c r="HK5" s="62" t="str">
        <f t="shared" si="20"/>
        <v>ธ.ค.</v>
      </c>
      <c r="HL5" s="62" t="str">
        <f t="shared" si="20"/>
        <v>ม.ค.</v>
      </c>
      <c r="HM5" s="62" t="str">
        <f t="shared" si="20"/>
        <v>ก.พ.</v>
      </c>
      <c r="HN5" s="62" t="str">
        <f t="shared" si="20"/>
        <v>มี.ค.</v>
      </c>
      <c r="HO5" s="62" t="str">
        <f t="shared" si="20"/>
        <v>เม.ย.</v>
      </c>
      <c r="HP5" s="62" t="str">
        <f t="shared" si="20"/>
        <v>พ.ค.</v>
      </c>
      <c r="HQ5" s="62" t="str">
        <f t="shared" si="20"/>
        <v>มิ.ย.</v>
      </c>
      <c r="HR5" s="62" t="str">
        <f t="shared" si="20"/>
        <v>ก.ค.</v>
      </c>
      <c r="HS5" s="62" t="str">
        <f t="shared" si="20"/>
        <v>ส.ค.</v>
      </c>
      <c r="HT5" s="62" t="str">
        <f t="shared" si="20"/>
        <v>ก.ย.</v>
      </c>
      <c r="HU5" s="62" t="str">
        <f t="shared" si="20"/>
        <v>รวม</v>
      </c>
      <c r="HV5" s="62" t="str">
        <f>+HI5</f>
        <v>ต.ค.</v>
      </c>
      <c r="HW5" s="62" t="str">
        <f t="shared" ref="HW5:IH5" si="21">+HJ5</f>
        <v>พ.ย.</v>
      </c>
      <c r="HX5" s="62" t="str">
        <f t="shared" si="21"/>
        <v>ธ.ค.</v>
      </c>
      <c r="HY5" s="62" t="str">
        <f t="shared" si="21"/>
        <v>ม.ค.</v>
      </c>
      <c r="HZ5" s="62" t="str">
        <f t="shared" si="21"/>
        <v>ก.พ.</v>
      </c>
      <c r="IA5" s="62" t="str">
        <f t="shared" si="21"/>
        <v>มี.ค.</v>
      </c>
      <c r="IB5" s="62" t="str">
        <f t="shared" si="21"/>
        <v>เม.ย.</v>
      </c>
      <c r="IC5" s="62" t="str">
        <f t="shared" si="21"/>
        <v>พ.ค.</v>
      </c>
      <c r="ID5" s="62" t="str">
        <f t="shared" si="21"/>
        <v>มิ.ย.</v>
      </c>
      <c r="IE5" s="62" t="str">
        <f t="shared" si="21"/>
        <v>ก.ค.</v>
      </c>
      <c r="IF5" s="62" t="str">
        <f t="shared" si="21"/>
        <v>ส.ค.</v>
      </c>
      <c r="IG5" s="62" t="str">
        <f t="shared" si="21"/>
        <v>ก.ย.</v>
      </c>
      <c r="IH5" s="62" t="str">
        <f t="shared" si="21"/>
        <v>รวม</v>
      </c>
      <c r="II5" s="88"/>
      <c r="IJ5" s="62" t="str">
        <f>+HV5</f>
        <v>ต.ค.</v>
      </c>
      <c r="IK5" s="62" t="str">
        <f t="shared" ref="IK5:IV5" si="22">+HW5</f>
        <v>พ.ย.</v>
      </c>
      <c r="IL5" s="62" t="str">
        <f t="shared" si="22"/>
        <v>ธ.ค.</v>
      </c>
      <c r="IM5" s="62" t="str">
        <f t="shared" si="22"/>
        <v>ม.ค.</v>
      </c>
      <c r="IN5" s="62" t="str">
        <f t="shared" si="22"/>
        <v>ก.พ.</v>
      </c>
      <c r="IO5" s="62" t="str">
        <f t="shared" si="22"/>
        <v>มี.ค.</v>
      </c>
      <c r="IP5" s="62" t="str">
        <f t="shared" si="22"/>
        <v>เม.ย.</v>
      </c>
      <c r="IQ5" s="62" t="str">
        <f t="shared" si="22"/>
        <v>พ.ค.</v>
      </c>
      <c r="IR5" s="62" t="str">
        <f t="shared" si="22"/>
        <v>มิ.ย.</v>
      </c>
      <c r="IS5" s="62" t="str">
        <f t="shared" si="22"/>
        <v>ก.ค.</v>
      </c>
      <c r="IT5" s="62" t="str">
        <f t="shared" si="22"/>
        <v>ส.ค.</v>
      </c>
      <c r="IU5" s="62" t="str">
        <f t="shared" si="22"/>
        <v>ก.ย.</v>
      </c>
      <c r="IV5" s="62" t="str">
        <f t="shared" si="22"/>
        <v>รวม</v>
      </c>
      <c r="IW5" s="62" t="str">
        <f>+IJ5</f>
        <v>ต.ค.</v>
      </c>
      <c r="IX5" s="62" t="str">
        <f t="shared" ref="IX5:JI5" si="23">+IK5</f>
        <v>พ.ย.</v>
      </c>
      <c r="IY5" s="62" t="str">
        <f t="shared" si="23"/>
        <v>ธ.ค.</v>
      </c>
      <c r="IZ5" s="62" t="str">
        <f t="shared" si="23"/>
        <v>ม.ค.</v>
      </c>
      <c r="JA5" s="62" t="str">
        <f t="shared" si="23"/>
        <v>ก.พ.</v>
      </c>
      <c r="JB5" s="62" t="str">
        <f t="shared" si="23"/>
        <v>มี.ค.</v>
      </c>
      <c r="JC5" s="62" t="str">
        <f t="shared" si="23"/>
        <v>เม.ย.</v>
      </c>
      <c r="JD5" s="62" t="str">
        <f t="shared" si="23"/>
        <v>พ.ค.</v>
      </c>
      <c r="JE5" s="62" t="str">
        <f t="shared" si="23"/>
        <v>มิ.ย.</v>
      </c>
      <c r="JF5" s="62" t="str">
        <f t="shared" si="23"/>
        <v>ก.ค.</v>
      </c>
      <c r="JG5" s="62" t="str">
        <f t="shared" si="23"/>
        <v>ส.ค.</v>
      </c>
      <c r="JH5" s="62" t="str">
        <f t="shared" si="23"/>
        <v>ก.ย.</v>
      </c>
      <c r="JI5" s="62" t="str">
        <f t="shared" si="23"/>
        <v>รวม</v>
      </c>
      <c r="JJ5" s="62" t="str">
        <f>+IW5</f>
        <v>ต.ค.</v>
      </c>
      <c r="JK5" s="62" t="str">
        <f t="shared" ref="JK5" si="24">+IX5</f>
        <v>พ.ย.</v>
      </c>
      <c r="JL5" s="62" t="str">
        <f t="shared" ref="JL5" si="25">+IY5</f>
        <v>ธ.ค.</v>
      </c>
      <c r="JM5" s="62" t="str">
        <f t="shared" ref="JM5" si="26">+IZ5</f>
        <v>ม.ค.</v>
      </c>
      <c r="JN5" s="62" t="str">
        <f t="shared" ref="JN5" si="27">+JA5</f>
        <v>ก.พ.</v>
      </c>
      <c r="JO5" s="62" t="str">
        <f t="shared" ref="JO5" si="28">+JB5</f>
        <v>มี.ค.</v>
      </c>
      <c r="JP5" s="62" t="str">
        <f t="shared" ref="JP5" si="29">+JC5</f>
        <v>เม.ย.</v>
      </c>
      <c r="JQ5" s="62" t="str">
        <f t="shared" ref="JQ5" si="30">+JD5</f>
        <v>พ.ค.</v>
      </c>
      <c r="JR5" s="62" t="str">
        <f t="shared" ref="JR5" si="31">+JE5</f>
        <v>มิ.ย.</v>
      </c>
      <c r="JS5" s="62" t="str">
        <f t="shared" ref="JS5" si="32">+JF5</f>
        <v>ก.ค.</v>
      </c>
      <c r="JT5" s="62" t="str">
        <f t="shared" ref="JT5" si="33">+JG5</f>
        <v>ส.ค.</v>
      </c>
      <c r="JU5" s="62" t="str">
        <f t="shared" ref="JU5" si="34">+JH5</f>
        <v>ก.ย.</v>
      </c>
      <c r="JV5" s="62" t="str">
        <f t="shared" ref="JV5" si="35">+JI5</f>
        <v>รวม</v>
      </c>
      <c r="JW5" s="88"/>
      <c r="JX5" s="62" t="str">
        <f t="shared" ref="JX5:KJ5" si="36">+JJ5</f>
        <v>ต.ค.</v>
      </c>
      <c r="JY5" s="62" t="str">
        <f t="shared" si="36"/>
        <v>พ.ย.</v>
      </c>
      <c r="JZ5" s="62" t="str">
        <f t="shared" si="36"/>
        <v>ธ.ค.</v>
      </c>
      <c r="KA5" s="62" t="str">
        <f t="shared" si="36"/>
        <v>ม.ค.</v>
      </c>
      <c r="KB5" s="62" t="str">
        <f t="shared" si="36"/>
        <v>ก.พ.</v>
      </c>
      <c r="KC5" s="62" t="str">
        <f t="shared" si="36"/>
        <v>มี.ค.</v>
      </c>
      <c r="KD5" s="62" t="str">
        <f t="shared" si="36"/>
        <v>เม.ย.</v>
      </c>
      <c r="KE5" s="62" t="str">
        <f t="shared" si="36"/>
        <v>พ.ค.</v>
      </c>
      <c r="KF5" s="62" t="str">
        <f t="shared" si="36"/>
        <v>มิ.ย.</v>
      </c>
      <c r="KG5" s="62" t="str">
        <f t="shared" si="36"/>
        <v>ก.ค.</v>
      </c>
      <c r="KH5" s="62" t="str">
        <f t="shared" si="36"/>
        <v>ส.ค.</v>
      </c>
      <c r="KI5" s="62" t="str">
        <f t="shared" si="36"/>
        <v>ก.ย.</v>
      </c>
      <c r="KJ5" s="62" t="str">
        <f t="shared" si="36"/>
        <v>รวม</v>
      </c>
      <c r="KK5" s="62" t="str">
        <f>+JX5</f>
        <v>ต.ค.</v>
      </c>
      <c r="KL5" s="62" t="str">
        <f t="shared" ref="KL5:KN5" si="37">+JY5</f>
        <v>พ.ย.</v>
      </c>
      <c r="KM5" s="62" t="str">
        <f t="shared" si="37"/>
        <v>ธ.ค.</v>
      </c>
      <c r="KN5" s="62" t="str">
        <f t="shared" si="37"/>
        <v>ม.ค.</v>
      </c>
      <c r="KO5" s="62" t="str">
        <f t="shared" ref="KO5" si="38">+KB5</f>
        <v>ก.พ.</v>
      </c>
      <c r="KP5" s="62" t="str">
        <f t="shared" ref="KP5:KQ5" si="39">+KC5</f>
        <v>มี.ค.</v>
      </c>
      <c r="KQ5" s="62" t="str">
        <f t="shared" si="39"/>
        <v>เม.ย.</v>
      </c>
      <c r="KR5" s="62" t="str">
        <f t="shared" ref="KR5" si="40">+KE5</f>
        <v>พ.ค.</v>
      </c>
      <c r="KS5" s="62" t="str">
        <f t="shared" ref="KS5:KT5" si="41">+KF5</f>
        <v>มิ.ย.</v>
      </c>
      <c r="KT5" s="62" t="str">
        <f t="shared" si="41"/>
        <v>ก.ค.</v>
      </c>
      <c r="KU5" s="62" t="str">
        <f t="shared" ref="KU5" si="42">+KH5</f>
        <v>ส.ค.</v>
      </c>
      <c r="KV5" s="62" t="str">
        <f t="shared" ref="KV5" si="43">+KI5</f>
        <v>ก.ย.</v>
      </c>
      <c r="KW5" s="17" t="s">
        <v>16</v>
      </c>
      <c r="KX5" s="62" t="str">
        <f>+KK5</f>
        <v>ต.ค.</v>
      </c>
      <c r="KY5" s="62" t="str">
        <f t="shared" ref="KY5:LI5" si="44">+KL5</f>
        <v>พ.ย.</v>
      </c>
      <c r="KZ5" s="62" t="str">
        <f t="shared" si="44"/>
        <v>ธ.ค.</v>
      </c>
      <c r="LA5" s="62" t="str">
        <f t="shared" si="44"/>
        <v>ม.ค.</v>
      </c>
      <c r="LB5" s="62" t="str">
        <f t="shared" si="44"/>
        <v>ก.พ.</v>
      </c>
      <c r="LC5" s="62" t="str">
        <f t="shared" si="44"/>
        <v>มี.ค.</v>
      </c>
      <c r="LD5" s="62" t="str">
        <f t="shared" si="44"/>
        <v>เม.ย.</v>
      </c>
      <c r="LE5" s="62" t="str">
        <f t="shared" si="44"/>
        <v>พ.ค.</v>
      </c>
      <c r="LF5" s="62" t="str">
        <f t="shared" si="44"/>
        <v>มิ.ย.</v>
      </c>
      <c r="LG5" s="62" t="str">
        <f t="shared" si="44"/>
        <v>ก.ค.</v>
      </c>
      <c r="LH5" s="62" t="str">
        <f t="shared" si="44"/>
        <v>ส.ค.</v>
      </c>
      <c r="LI5" s="62" t="str">
        <f t="shared" si="44"/>
        <v>ก.ย.</v>
      </c>
      <c r="LJ5" s="17" t="s">
        <v>16</v>
      </c>
      <c r="LK5" s="88"/>
      <c r="LL5" s="62" t="str">
        <f>+KX5</f>
        <v>ต.ค.</v>
      </c>
      <c r="LM5" s="62" t="str">
        <f t="shared" ref="LM5:LW5" si="45">+KY5</f>
        <v>พ.ย.</v>
      </c>
      <c r="LN5" s="62" t="str">
        <f t="shared" si="45"/>
        <v>ธ.ค.</v>
      </c>
      <c r="LO5" s="62" t="str">
        <f t="shared" si="45"/>
        <v>ม.ค.</v>
      </c>
      <c r="LP5" s="62" t="str">
        <f t="shared" si="45"/>
        <v>ก.พ.</v>
      </c>
      <c r="LQ5" s="62" t="str">
        <f t="shared" si="45"/>
        <v>มี.ค.</v>
      </c>
      <c r="LR5" s="62" t="str">
        <f t="shared" si="45"/>
        <v>เม.ย.</v>
      </c>
      <c r="LS5" s="62" t="str">
        <f t="shared" si="45"/>
        <v>พ.ค.</v>
      </c>
      <c r="LT5" s="62" t="str">
        <f t="shared" si="45"/>
        <v>มิ.ย.</v>
      </c>
      <c r="LU5" s="62" t="str">
        <f t="shared" si="45"/>
        <v>ก.ค.</v>
      </c>
      <c r="LV5" s="62" t="str">
        <f t="shared" si="45"/>
        <v>ส.ค.</v>
      </c>
      <c r="LW5" s="62" t="str">
        <f t="shared" si="45"/>
        <v>ก.ย.</v>
      </c>
      <c r="LX5" s="17" t="s">
        <v>16</v>
      </c>
      <c r="LY5" s="62" t="str">
        <f>+LL5</f>
        <v>ต.ค.</v>
      </c>
      <c r="LZ5" s="62" t="str">
        <f t="shared" ref="LZ5:MJ5" si="46">+LM5</f>
        <v>พ.ย.</v>
      </c>
      <c r="MA5" s="62" t="str">
        <f t="shared" si="46"/>
        <v>ธ.ค.</v>
      </c>
      <c r="MB5" s="62" t="str">
        <f t="shared" si="46"/>
        <v>ม.ค.</v>
      </c>
      <c r="MC5" s="62" t="str">
        <f t="shared" si="46"/>
        <v>ก.พ.</v>
      </c>
      <c r="MD5" s="62" t="str">
        <f t="shared" si="46"/>
        <v>มี.ค.</v>
      </c>
      <c r="ME5" s="62" t="str">
        <f t="shared" si="46"/>
        <v>เม.ย.</v>
      </c>
      <c r="MF5" s="62" t="str">
        <f t="shared" si="46"/>
        <v>พ.ค.</v>
      </c>
      <c r="MG5" s="62" t="str">
        <f t="shared" si="46"/>
        <v>มิ.ย.</v>
      </c>
      <c r="MH5" s="62" t="str">
        <f t="shared" si="46"/>
        <v>ก.ค.</v>
      </c>
      <c r="MI5" s="62" t="str">
        <f t="shared" si="46"/>
        <v>ส.ค.</v>
      </c>
      <c r="MJ5" s="62" t="str">
        <f t="shared" si="46"/>
        <v>ก.ย.</v>
      </c>
      <c r="MK5" s="17" t="s">
        <v>16</v>
      </c>
      <c r="ML5" s="62" t="str">
        <f>+LY5</f>
        <v>ต.ค.</v>
      </c>
      <c r="MM5" s="62" t="str">
        <f t="shared" ref="MM5:MW5" si="47">+LZ5</f>
        <v>พ.ย.</v>
      </c>
      <c r="MN5" s="62" t="str">
        <f t="shared" si="47"/>
        <v>ธ.ค.</v>
      </c>
      <c r="MO5" s="62" t="str">
        <f t="shared" si="47"/>
        <v>ม.ค.</v>
      </c>
      <c r="MP5" s="62" t="str">
        <f t="shared" si="47"/>
        <v>ก.พ.</v>
      </c>
      <c r="MQ5" s="62" t="str">
        <f t="shared" si="47"/>
        <v>มี.ค.</v>
      </c>
      <c r="MR5" s="62" t="str">
        <f t="shared" si="47"/>
        <v>เม.ย.</v>
      </c>
      <c r="MS5" s="62" t="str">
        <f t="shared" si="47"/>
        <v>พ.ค.</v>
      </c>
      <c r="MT5" s="62" t="str">
        <f t="shared" si="47"/>
        <v>มิ.ย.</v>
      </c>
      <c r="MU5" s="62" t="str">
        <f t="shared" si="47"/>
        <v>ก.ค.</v>
      </c>
      <c r="MV5" s="62" t="str">
        <f t="shared" si="47"/>
        <v>ส.ค.</v>
      </c>
      <c r="MW5" s="62" t="str">
        <f t="shared" si="47"/>
        <v>ก.ย.</v>
      </c>
      <c r="MX5" s="17" t="s">
        <v>16</v>
      </c>
      <c r="MY5" s="88"/>
      <c r="MZ5" s="62" t="str">
        <f>+ML5</f>
        <v>ต.ค.</v>
      </c>
      <c r="NA5" s="62" t="str">
        <f t="shared" ref="NA5:NK5" si="48">+MM5</f>
        <v>พ.ย.</v>
      </c>
      <c r="NB5" s="62" t="str">
        <f t="shared" si="48"/>
        <v>ธ.ค.</v>
      </c>
      <c r="NC5" s="62" t="str">
        <f t="shared" si="48"/>
        <v>ม.ค.</v>
      </c>
      <c r="ND5" s="62" t="str">
        <f t="shared" si="48"/>
        <v>ก.พ.</v>
      </c>
      <c r="NE5" s="62" t="str">
        <f t="shared" si="48"/>
        <v>มี.ค.</v>
      </c>
      <c r="NF5" s="62" t="str">
        <f t="shared" si="48"/>
        <v>เม.ย.</v>
      </c>
      <c r="NG5" s="62" t="str">
        <f t="shared" si="48"/>
        <v>พ.ค.</v>
      </c>
      <c r="NH5" s="62" t="str">
        <f t="shared" si="48"/>
        <v>มิ.ย.</v>
      </c>
      <c r="NI5" s="62" t="str">
        <f t="shared" si="48"/>
        <v>ก.ค.</v>
      </c>
      <c r="NJ5" s="62" t="str">
        <f t="shared" si="48"/>
        <v>ส.ค.</v>
      </c>
      <c r="NK5" s="62" t="str">
        <f t="shared" si="48"/>
        <v>ก.ย.</v>
      </c>
      <c r="NL5" s="17" t="s">
        <v>16</v>
      </c>
      <c r="NM5" s="62" t="str">
        <f>+MZ5</f>
        <v>ต.ค.</v>
      </c>
      <c r="NN5" s="62" t="str">
        <f t="shared" ref="NN5:NX5" si="49">+NA5</f>
        <v>พ.ย.</v>
      </c>
      <c r="NO5" s="62" t="str">
        <f t="shared" si="49"/>
        <v>ธ.ค.</v>
      </c>
      <c r="NP5" s="62" t="str">
        <f t="shared" si="49"/>
        <v>ม.ค.</v>
      </c>
      <c r="NQ5" s="62" t="str">
        <f t="shared" si="49"/>
        <v>ก.พ.</v>
      </c>
      <c r="NR5" s="62" t="str">
        <f t="shared" si="49"/>
        <v>มี.ค.</v>
      </c>
      <c r="NS5" s="62" t="str">
        <f t="shared" si="49"/>
        <v>เม.ย.</v>
      </c>
      <c r="NT5" s="62" t="str">
        <f t="shared" si="49"/>
        <v>พ.ค.</v>
      </c>
      <c r="NU5" s="62" t="str">
        <f t="shared" si="49"/>
        <v>มิ.ย.</v>
      </c>
      <c r="NV5" s="62" t="str">
        <f t="shared" si="49"/>
        <v>ก.ค.</v>
      </c>
      <c r="NW5" s="62" t="str">
        <f t="shared" si="49"/>
        <v>ส.ค.</v>
      </c>
      <c r="NX5" s="62" t="str">
        <f t="shared" si="49"/>
        <v>ก.ย.</v>
      </c>
      <c r="NY5" s="17" t="s">
        <v>16</v>
      </c>
      <c r="NZ5" s="62" t="str">
        <f>+NM5</f>
        <v>ต.ค.</v>
      </c>
      <c r="OA5" s="62" t="str">
        <f t="shared" ref="OA5:OK5" si="50">+NN5</f>
        <v>พ.ย.</v>
      </c>
      <c r="OB5" s="62" t="str">
        <f t="shared" si="50"/>
        <v>ธ.ค.</v>
      </c>
      <c r="OC5" s="62" t="str">
        <f t="shared" si="50"/>
        <v>ม.ค.</v>
      </c>
      <c r="OD5" s="62" t="str">
        <f t="shared" si="50"/>
        <v>ก.พ.</v>
      </c>
      <c r="OE5" s="62" t="str">
        <f t="shared" si="50"/>
        <v>มี.ค.</v>
      </c>
      <c r="OF5" s="62" t="str">
        <f t="shared" si="50"/>
        <v>เม.ย.</v>
      </c>
      <c r="OG5" s="62" t="str">
        <f t="shared" si="50"/>
        <v>พ.ค.</v>
      </c>
      <c r="OH5" s="62" t="str">
        <f t="shared" si="50"/>
        <v>มิ.ย.</v>
      </c>
      <c r="OI5" s="62" t="str">
        <f t="shared" si="50"/>
        <v>ก.ค.</v>
      </c>
      <c r="OJ5" s="62" t="str">
        <f t="shared" si="50"/>
        <v>ส.ค.</v>
      </c>
      <c r="OK5" s="62" t="str">
        <f t="shared" si="50"/>
        <v>ก.ย.</v>
      </c>
      <c r="OL5" s="17" t="s">
        <v>16</v>
      </c>
      <c r="OM5" s="88"/>
      <c r="ON5" s="62" t="str">
        <f>+NZ5</f>
        <v>ต.ค.</v>
      </c>
      <c r="OO5" s="62" t="str">
        <f t="shared" ref="OO5:OY5" si="51">+OA5</f>
        <v>พ.ย.</v>
      </c>
      <c r="OP5" s="62" t="str">
        <f t="shared" si="51"/>
        <v>ธ.ค.</v>
      </c>
      <c r="OQ5" s="62" t="str">
        <f t="shared" si="51"/>
        <v>ม.ค.</v>
      </c>
      <c r="OR5" s="62" t="str">
        <f t="shared" si="51"/>
        <v>ก.พ.</v>
      </c>
      <c r="OS5" s="62" t="str">
        <f t="shared" si="51"/>
        <v>มี.ค.</v>
      </c>
      <c r="OT5" s="62" t="str">
        <f t="shared" si="51"/>
        <v>เม.ย.</v>
      </c>
      <c r="OU5" s="62" t="str">
        <f t="shared" si="51"/>
        <v>พ.ค.</v>
      </c>
      <c r="OV5" s="62" t="str">
        <f t="shared" si="51"/>
        <v>มิ.ย.</v>
      </c>
      <c r="OW5" s="62" t="str">
        <f t="shared" si="51"/>
        <v>ก.ค.</v>
      </c>
      <c r="OX5" s="62" t="str">
        <f t="shared" si="51"/>
        <v>ส.ค.</v>
      </c>
      <c r="OY5" s="62" t="str">
        <f t="shared" si="51"/>
        <v>ก.ย.</v>
      </c>
      <c r="OZ5" s="17" t="s">
        <v>16</v>
      </c>
      <c r="PA5" s="24"/>
    </row>
    <row r="6" spans="1:418" x14ac:dyDescent="0.35">
      <c r="A6" s="5" t="s">
        <v>1</v>
      </c>
      <c r="B6" s="5" t="s">
        <v>8</v>
      </c>
      <c r="C6" s="5" t="s">
        <v>17</v>
      </c>
      <c r="D6" s="4">
        <f>128790+26250</f>
        <v>155040</v>
      </c>
      <c r="E6" s="4">
        <v>155040</v>
      </c>
      <c r="F6" s="4">
        <v>155040</v>
      </c>
      <c r="G6" s="4">
        <v>125590.97</v>
      </c>
      <c r="H6" s="4">
        <v>155040</v>
      </c>
      <c r="I6" s="4">
        <v>155040</v>
      </c>
      <c r="J6" s="37">
        <f>38760+161500</f>
        <v>200260</v>
      </c>
      <c r="K6" s="37">
        <v>161500</v>
      </c>
      <c r="L6" s="4">
        <v>161500</v>
      </c>
      <c r="M6" s="4">
        <v>161500</v>
      </c>
      <c r="N6" s="4">
        <v>161500</v>
      </c>
      <c r="O6" s="4">
        <v>161500</v>
      </c>
      <c r="P6" s="4">
        <f>SUM(D6:O6)</f>
        <v>1908550.97</v>
      </c>
      <c r="Q6" s="4">
        <f>3000+750</f>
        <v>3750</v>
      </c>
      <c r="R6" s="4">
        <v>3750</v>
      </c>
      <c r="S6" s="4">
        <v>3750</v>
      </c>
      <c r="T6" s="4">
        <v>3102</v>
      </c>
      <c r="U6" s="4">
        <v>3750</v>
      </c>
      <c r="V6" s="4">
        <v>3750</v>
      </c>
      <c r="W6" s="4">
        <v>3750</v>
      </c>
      <c r="X6" s="4">
        <v>3750</v>
      </c>
      <c r="Y6" s="4">
        <v>3750</v>
      </c>
      <c r="Z6" s="4">
        <v>3750</v>
      </c>
      <c r="AA6" s="4">
        <v>3750</v>
      </c>
      <c r="AB6" s="4">
        <v>3750</v>
      </c>
      <c r="AC6" s="4">
        <f>SUM(Q6:AB6)</f>
        <v>44352</v>
      </c>
      <c r="AD6" s="4">
        <v>2919</v>
      </c>
      <c r="AE6" s="4">
        <v>2919</v>
      </c>
      <c r="AF6" s="4">
        <v>2919</v>
      </c>
      <c r="AG6" s="4">
        <v>2919</v>
      </c>
      <c r="AH6" s="4">
        <v>2919</v>
      </c>
      <c r="AI6" s="4">
        <v>2919</v>
      </c>
      <c r="AJ6" s="37">
        <f>876+3067</f>
        <v>3943</v>
      </c>
      <c r="AK6" s="4">
        <v>3067</v>
      </c>
      <c r="AL6" s="4">
        <v>3067</v>
      </c>
      <c r="AM6" s="4">
        <v>3067</v>
      </c>
      <c r="AN6" s="4">
        <v>3067</v>
      </c>
      <c r="AO6" s="4">
        <v>3067</v>
      </c>
      <c r="AP6" s="4">
        <f>SUM(AD6:AO6)</f>
        <v>36792</v>
      </c>
      <c r="AQ6" s="4">
        <f>+P6+AC6+AP6</f>
        <v>1989694.97</v>
      </c>
      <c r="AR6" s="4">
        <v>145710</v>
      </c>
      <c r="AS6" s="4">
        <v>145710</v>
      </c>
      <c r="AT6" s="4">
        <v>145710</v>
      </c>
      <c r="AU6" s="4">
        <v>145710</v>
      </c>
      <c r="AV6" s="4">
        <v>145710</v>
      </c>
      <c r="AW6" s="4">
        <v>145710</v>
      </c>
      <c r="AX6" s="37">
        <f>35760+151670</f>
        <v>187430</v>
      </c>
      <c r="AY6" s="4">
        <v>151670</v>
      </c>
      <c r="AZ6" s="4">
        <v>151670</v>
      </c>
      <c r="BA6" s="4">
        <v>151670</v>
      </c>
      <c r="BB6" s="4">
        <v>151670</v>
      </c>
      <c r="BC6" s="4">
        <v>151670</v>
      </c>
      <c r="BD6" s="4">
        <f>SUM(AR6:BC6)</f>
        <v>1820040</v>
      </c>
      <c r="BE6" s="4">
        <v>3750</v>
      </c>
      <c r="BF6" s="4">
        <v>3750</v>
      </c>
      <c r="BG6" s="4">
        <v>3750</v>
      </c>
      <c r="BH6" s="4">
        <v>3750</v>
      </c>
      <c r="BI6" s="4">
        <v>3750</v>
      </c>
      <c r="BJ6" s="4">
        <v>3750</v>
      </c>
      <c r="BK6" s="4">
        <v>3750</v>
      </c>
      <c r="BL6" s="4">
        <v>3750</v>
      </c>
      <c r="BM6" s="4">
        <v>3750</v>
      </c>
      <c r="BN6" s="4">
        <v>3750</v>
      </c>
      <c r="BO6" s="4">
        <v>3750</v>
      </c>
      <c r="BP6" s="4">
        <v>3750</v>
      </c>
      <c r="BQ6" s="4">
        <f>SUM(BE6:BP6)</f>
        <v>45000</v>
      </c>
      <c r="BR6" s="4">
        <v>2740</v>
      </c>
      <c r="BS6" s="4">
        <v>2740</v>
      </c>
      <c r="BT6" s="4">
        <v>2740</v>
      </c>
      <c r="BU6" s="4">
        <v>2740</v>
      </c>
      <c r="BV6" s="4">
        <v>2740</v>
      </c>
      <c r="BW6" s="4">
        <v>2740</v>
      </c>
      <c r="BX6" s="37">
        <f>816+2876</f>
        <v>3692</v>
      </c>
      <c r="BY6" s="4">
        <v>2876</v>
      </c>
      <c r="BZ6" s="4">
        <v>2876</v>
      </c>
      <c r="CA6" s="4">
        <v>2876</v>
      </c>
      <c r="CB6" s="4">
        <v>2876</v>
      </c>
      <c r="CC6" s="4">
        <v>2876</v>
      </c>
      <c r="CD6" s="4">
        <f>SUM(BR6:CC6)</f>
        <v>34512</v>
      </c>
      <c r="CE6" s="4">
        <f>+BD6+BQ6+CD6</f>
        <v>1899552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>
        <f>SUM(CF6:CQ6)</f>
        <v>0</v>
      </c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>
        <f>SUM(CS6:DD6)</f>
        <v>0</v>
      </c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>
        <f>SUM(DF6:DQ6)</f>
        <v>0</v>
      </c>
      <c r="DS6" s="4">
        <f>+CR6+DE6+DR6</f>
        <v>0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>
        <f>SUM(DT6:EE6)</f>
        <v>0</v>
      </c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f>SUM(EG6:ER6)</f>
        <v>0</v>
      </c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>
        <f>SUM(ET6:FE6)</f>
        <v>0</v>
      </c>
      <c r="FG6" s="4">
        <f>+EF6+ES6+FF6</f>
        <v>0</v>
      </c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>
        <f t="shared" ref="FT6:FT40" si="52">SUM(FH6:FS6)</f>
        <v>0</v>
      </c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f t="shared" ref="GG6:GG40" si="53">SUM(FU6:GF6)</f>
        <v>0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>
        <f>SUM(GH6:GS6)</f>
        <v>0</v>
      </c>
      <c r="GU6" s="4">
        <f>+FT6+GG6+GT6</f>
        <v>0</v>
      </c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>
        <f t="shared" ref="HH6:HH40" si="54">SUM(GV6:HG6)</f>
        <v>0</v>
      </c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>
        <f t="shared" ref="HU6:HU40" si="55">SUM(HI6:HT6)</f>
        <v>0</v>
      </c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>
        <f>SUM(HV6:IG6)</f>
        <v>0</v>
      </c>
      <c r="II6" s="4">
        <f>+HH6+HU6+IH6</f>
        <v>0</v>
      </c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>
        <f>SUM(IJ6:IU6)</f>
        <v>0</v>
      </c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>
        <f>SUM(IW6:JH6)</f>
        <v>0</v>
      </c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>
        <f>SUM(JJ6:JU6)</f>
        <v>0</v>
      </c>
      <c r="JW6" s="4">
        <f>+IV6+JI6+JV6</f>
        <v>0</v>
      </c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>
        <f>SUM(JX6:KI6)</f>
        <v>0</v>
      </c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>
        <f>SUM(KK6:KV6)</f>
        <v>0</v>
      </c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>
        <f>SUM(KX6:LI6)</f>
        <v>0</v>
      </c>
      <c r="LK6" s="4">
        <f>+KJ6+KW6+LJ6</f>
        <v>0</v>
      </c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>
        <f>SUM(LL6:LW6)</f>
        <v>0</v>
      </c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>
        <f>SUM(LY6:MJ6)</f>
        <v>0</v>
      </c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>
        <f>SUM(ML6:MW6)</f>
        <v>0</v>
      </c>
      <c r="MY6" s="4">
        <f>+LX6+MK6+MX6</f>
        <v>0</v>
      </c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>
        <f>SUM(MZ6:NK6)</f>
        <v>0</v>
      </c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>
        <f>SUM(NM6:NX6)</f>
        <v>0</v>
      </c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>
        <f>SUM(NZ6:OK6)</f>
        <v>0</v>
      </c>
      <c r="OM6" s="4">
        <f>+NL6+NY6+OL6</f>
        <v>0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>
        <f>SUM(ON6:OY6)</f>
        <v>0</v>
      </c>
      <c r="PA6" s="13">
        <f>+AQ6+CE6+DS6+FG6+GU6+II6+JW6+LK6+MY6+OM6+OZ6</f>
        <v>3889246.9699999997</v>
      </c>
    </row>
    <row r="7" spans="1:418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39" si="56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39" si="57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39" si="58">SUM(AD7:AO7)</f>
        <v>0</v>
      </c>
      <c r="AQ7" s="4">
        <f t="shared" ref="AQ7:AQ46" si="59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39" si="60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61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62">SUM(BR7:CC7)</f>
        <v>0</v>
      </c>
      <c r="CE7" s="4">
        <f t="shared" ref="CE7:CE40" si="63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64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65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66">SUM(DF7:DQ7)</f>
        <v>0</v>
      </c>
      <c r="DS7" s="4">
        <f t="shared" ref="DS7:DS40" si="67">+CR7+DE7+DR7</f>
        <v>0</v>
      </c>
      <c r="DT7" s="4">
        <v>100550</v>
      </c>
      <c r="DU7" s="4">
        <v>100550</v>
      </c>
      <c r="DV7" s="4">
        <v>100550</v>
      </c>
      <c r="DW7" s="4">
        <v>100550</v>
      </c>
      <c r="DX7" s="4">
        <v>100550</v>
      </c>
      <c r="DY7" s="4">
        <v>100550</v>
      </c>
      <c r="DZ7" s="37">
        <f>29760+105510</f>
        <v>135270</v>
      </c>
      <c r="EA7" s="4">
        <v>105510</v>
      </c>
      <c r="EB7" s="4">
        <v>105510</v>
      </c>
      <c r="EC7" s="4">
        <v>105510</v>
      </c>
      <c r="ED7" s="4">
        <v>105510</v>
      </c>
      <c r="EE7" s="4">
        <v>105510</v>
      </c>
      <c r="EF7" s="4">
        <f t="shared" ref="EF7:EF40" si="68">SUM(DT7:EE7)</f>
        <v>1266120</v>
      </c>
      <c r="EG7" s="4">
        <v>2250</v>
      </c>
      <c r="EH7" s="4">
        <v>2250</v>
      </c>
      <c r="EI7" s="4">
        <v>2250</v>
      </c>
      <c r="EJ7" s="4">
        <v>2250</v>
      </c>
      <c r="EK7" s="4">
        <v>2250</v>
      </c>
      <c r="EL7" s="4">
        <v>2250</v>
      </c>
      <c r="EM7" s="4">
        <v>2250</v>
      </c>
      <c r="EN7" s="4">
        <v>2250</v>
      </c>
      <c r="EO7" s="4">
        <v>2250</v>
      </c>
      <c r="EP7" s="4">
        <v>2250</v>
      </c>
      <c r="EQ7" s="4">
        <v>2250</v>
      </c>
      <c r="ER7" s="4">
        <v>2250</v>
      </c>
      <c r="ES7" s="4">
        <f t="shared" ref="ES7:ES40" si="69">SUM(EG7:ER7)</f>
        <v>27000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F7" s="4">
        <f t="shared" ref="FF7:FF40" si="70">SUM(ET7:FE7)</f>
        <v>0</v>
      </c>
      <c r="FG7" s="4">
        <f t="shared" ref="FG7:FG40" si="71">+EF7+ES7+FF7</f>
        <v>1293120</v>
      </c>
      <c r="FH7" s="4">
        <v>62740</v>
      </c>
      <c r="FI7" s="4">
        <v>62740</v>
      </c>
      <c r="FJ7" s="4">
        <f>12600+94240</f>
        <v>106840</v>
      </c>
      <c r="FK7" s="4">
        <v>94240</v>
      </c>
      <c r="FL7" s="4">
        <v>94240</v>
      </c>
      <c r="FM7" s="4">
        <v>94240</v>
      </c>
      <c r="FN7" s="37">
        <f>18900+97390</f>
        <v>116290</v>
      </c>
      <c r="FO7" s="4">
        <v>97390</v>
      </c>
      <c r="FP7" s="4">
        <v>97390</v>
      </c>
      <c r="FQ7" s="4">
        <v>97390</v>
      </c>
      <c r="FR7" s="4">
        <v>97390</v>
      </c>
      <c r="FS7" s="4">
        <v>97390</v>
      </c>
      <c r="FT7" s="4">
        <f t="shared" si="52"/>
        <v>1118280</v>
      </c>
      <c r="FU7" s="4">
        <v>1500</v>
      </c>
      <c r="FV7" s="4">
        <v>1500</v>
      </c>
      <c r="FW7" s="4">
        <f>630+2250</f>
        <v>2880</v>
      </c>
      <c r="FX7" s="4">
        <v>2250</v>
      </c>
      <c r="FY7" s="4">
        <v>2250</v>
      </c>
      <c r="FZ7" s="4">
        <v>2250</v>
      </c>
      <c r="GA7" s="4">
        <v>2250</v>
      </c>
      <c r="GB7" s="4">
        <v>2250</v>
      </c>
      <c r="GC7" s="4">
        <v>2250</v>
      </c>
      <c r="GD7" s="4">
        <v>2250</v>
      </c>
      <c r="GE7" s="4">
        <v>2250</v>
      </c>
      <c r="GF7" s="4">
        <v>2250</v>
      </c>
      <c r="GG7" s="4">
        <f t="shared" si="53"/>
        <v>26130</v>
      </c>
      <c r="GH7" s="4">
        <v>1882</v>
      </c>
      <c r="GI7" s="4">
        <v>1882</v>
      </c>
      <c r="GJ7" s="4">
        <v>1882</v>
      </c>
      <c r="GK7" s="4">
        <v>1882</v>
      </c>
      <c r="GL7" s="4">
        <v>1882</v>
      </c>
      <c r="GM7" s="4">
        <v>1882</v>
      </c>
      <c r="GN7" s="37">
        <f>564+1977</f>
        <v>2541</v>
      </c>
      <c r="GO7" s="4">
        <v>1977</v>
      </c>
      <c r="GP7" s="4">
        <v>1977</v>
      </c>
      <c r="GQ7" s="4">
        <v>1977</v>
      </c>
      <c r="GR7" s="4">
        <v>1977</v>
      </c>
      <c r="GS7" s="4">
        <v>1977</v>
      </c>
      <c r="GT7" s="4">
        <f t="shared" ref="GT7:GT40" si="72">SUM(GH7:GS7)</f>
        <v>23718</v>
      </c>
      <c r="GU7" s="4">
        <f t="shared" ref="GU7:GU40" si="73">+FT7+GG7+GT7</f>
        <v>1168128</v>
      </c>
      <c r="GV7" s="4">
        <v>198270</v>
      </c>
      <c r="GW7" s="4">
        <v>198270</v>
      </c>
      <c r="GX7" s="4">
        <f>20125+224520</f>
        <v>244645</v>
      </c>
      <c r="GY7" s="4">
        <v>224520</v>
      </c>
      <c r="GZ7" s="4">
        <v>224520</v>
      </c>
      <c r="HA7" s="4">
        <v>224520</v>
      </c>
      <c r="HB7" s="37">
        <f>49620+232790</f>
        <v>282410</v>
      </c>
      <c r="HC7" s="4">
        <v>232790</v>
      </c>
      <c r="HD7" s="4">
        <v>232790</v>
      </c>
      <c r="HE7" s="4">
        <v>232790</v>
      </c>
      <c r="HF7" s="4">
        <v>232790</v>
      </c>
      <c r="HG7" s="4">
        <v>232790</v>
      </c>
      <c r="HH7" s="4">
        <f t="shared" si="54"/>
        <v>2761105</v>
      </c>
      <c r="HI7" s="4">
        <v>4500</v>
      </c>
      <c r="HJ7" s="4">
        <v>4500</v>
      </c>
      <c r="HK7" s="4">
        <f>750+5250</f>
        <v>6000</v>
      </c>
      <c r="HL7" s="4">
        <v>5250</v>
      </c>
      <c r="HM7" s="4">
        <v>5250</v>
      </c>
      <c r="HN7" s="4">
        <v>5250</v>
      </c>
      <c r="HO7" s="4">
        <v>5250</v>
      </c>
      <c r="HP7" s="4">
        <v>5250</v>
      </c>
      <c r="HQ7" s="4">
        <v>5250</v>
      </c>
      <c r="HR7" s="4">
        <v>5250</v>
      </c>
      <c r="HS7" s="4">
        <v>5250</v>
      </c>
      <c r="HT7" s="4">
        <v>5250</v>
      </c>
      <c r="HU7" s="4">
        <f t="shared" si="55"/>
        <v>62250</v>
      </c>
      <c r="HV7" s="4">
        <v>4831</v>
      </c>
      <c r="HW7" s="4">
        <v>4831</v>
      </c>
      <c r="HX7" s="4">
        <v>4831</v>
      </c>
      <c r="HY7" s="4">
        <v>4831</v>
      </c>
      <c r="HZ7" s="4">
        <v>5947</v>
      </c>
      <c r="IA7" s="4">
        <v>5947</v>
      </c>
      <c r="IB7" s="37">
        <f>1276+6197</f>
        <v>7473</v>
      </c>
      <c r="IC7" s="4">
        <v>6197</v>
      </c>
      <c r="ID7" s="4">
        <v>6197</v>
      </c>
      <c r="IE7" s="4">
        <v>6985</v>
      </c>
      <c r="IF7" s="4">
        <v>6985</v>
      </c>
      <c r="IG7" s="4">
        <v>6985</v>
      </c>
      <c r="IH7" s="4">
        <f t="shared" ref="IH7:IH40" si="74">SUM(HV7:IG7)</f>
        <v>72040</v>
      </c>
      <c r="II7" s="4">
        <f t="shared" ref="II7:II40" si="75">+HH7+HU7+IH7</f>
        <v>2895395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76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77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78">SUM(JJ7:JU7)</f>
        <v>0</v>
      </c>
      <c r="JW7" s="4">
        <f t="shared" ref="JW7:JW40" si="79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80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81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82">SUM(KX7:LI7)</f>
        <v>0</v>
      </c>
      <c r="LK7" s="4">
        <f t="shared" ref="LK7:LK40" si="83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84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85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86">SUM(ML7:MW7)</f>
        <v>0</v>
      </c>
      <c r="MY7" s="4">
        <f t="shared" ref="MY7:MY40" si="87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 t="shared" ref="NL7:NL40" si="88">SUM(MZ7:NK7)</f>
        <v>0</v>
      </c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>
        <f t="shared" ref="NY7:NY40" si="89">SUM(NM7:NX7)</f>
        <v>0</v>
      </c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>
        <f t="shared" ref="OL7:OL40" si="90">SUM(NZ7:OK7)</f>
        <v>0</v>
      </c>
      <c r="OM7" s="4">
        <f t="shared" ref="OM7:OM40" si="91">+NL7+NY7+OL7</f>
        <v>0</v>
      </c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>
        <f t="shared" ref="OZ7:OZ40" si="92">SUM(ON7:OY7)</f>
        <v>0</v>
      </c>
      <c r="PA7" s="13">
        <f t="shared" ref="PA7:PA39" si="93">+AQ7+CE7+DS7+FG7+GU7+II7+JW7+LK7+MY7+OM7+OZ7</f>
        <v>5356643</v>
      </c>
    </row>
    <row r="8" spans="1:418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56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57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58"/>
        <v>0</v>
      </c>
      <c r="AQ8" s="4">
        <f t="shared" si="59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60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61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62"/>
        <v>0</v>
      </c>
      <c r="CE8" s="4">
        <f t="shared" si="63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64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65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66"/>
        <v>0</v>
      </c>
      <c r="DS8" s="4">
        <f t="shared" si="67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68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69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70"/>
        <v>0</v>
      </c>
      <c r="FG8" s="4">
        <f t="shared" si="71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52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53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72"/>
        <v>0</v>
      </c>
      <c r="GU8" s="4">
        <f t="shared" si="73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54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55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74"/>
        <v>0</v>
      </c>
      <c r="II8" s="4">
        <f t="shared" si="75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76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77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78"/>
        <v>0</v>
      </c>
      <c r="JW8" s="4">
        <f t="shared" si="79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80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81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82"/>
        <v>0</v>
      </c>
      <c r="LK8" s="4">
        <f t="shared" si="83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84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85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86"/>
        <v>0</v>
      </c>
      <c r="MY8" s="4">
        <f t="shared" si="87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si="88"/>
        <v>0</v>
      </c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>
        <f t="shared" si="89"/>
        <v>0</v>
      </c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>
        <f t="shared" si="90"/>
        <v>0</v>
      </c>
      <c r="OM8" s="4">
        <f t="shared" si="91"/>
        <v>0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>
        <f t="shared" si="92"/>
        <v>0</v>
      </c>
      <c r="PA8" s="13">
        <f t="shared" si="93"/>
        <v>0</v>
      </c>
    </row>
    <row r="9" spans="1:418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56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57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58"/>
        <v>0</v>
      </c>
      <c r="AQ9" s="4">
        <f t="shared" si="59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60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61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62"/>
        <v>0</v>
      </c>
      <c r="CE9" s="4">
        <f t="shared" si="63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64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65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66"/>
        <v>0</v>
      </c>
      <c r="DS9" s="4">
        <f t="shared" si="67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68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69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70"/>
        <v>0</v>
      </c>
      <c r="FG9" s="4">
        <f t="shared" si="71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52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53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72"/>
        <v>0</v>
      </c>
      <c r="GU9" s="4">
        <f t="shared" si="73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54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55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74"/>
        <v>0</v>
      </c>
      <c r="II9" s="4">
        <f t="shared" si="75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76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77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78"/>
        <v>0</v>
      </c>
      <c r="JW9" s="4">
        <f t="shared" si="79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80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81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82"/>
        <v>0</v>
      </c>
      <c r="LK9" s="4">
        <f t="shared" si="83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84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85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86"/>
        <v>0</v>
      </c>
      <c r="MY9" s="4">
        <f t="shared" si="87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88"/>
        <v>0</v>
      </c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>
        <f t="shared" si="89"/>
        <v>0</v>
      </c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>
        <f t="shared" si="90"/>
        <v>0</v>
      </c>
      <c r="OM9" s="4">
        <f t="shared" si="91"/>
        <v>0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>
        <f t="shared" si="92"/>
        <v>0</v>
      </c>
      <c r="PA9" s="13">
        <f t="shared" si="93"/>
        <v>0</v>
      </c>
    </row>
    <row r="10" spans="1:418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56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57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58"/>
        <v>0</v>
      </c>
      <c r="AQ10" s="4">
        <f t="shared" si="59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60"/>
        <v>0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f t="shared" si="61"/>
        <v>0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>
        <f t="shared" si="62"/>
        <v>0</v>
      </c>
      <c r="CE10" s="4">
        <f t="shared" si="63"/>
        <v>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64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65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66"/>
        <v>0</v>
      </c>
      <c r="DS10" s="4">
        <f t="shared" si="67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68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69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70"/>
        <v>0</v>
      </c>
      <c r="FG10" s="4">
        <f t="shared" si="71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52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53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72"/>
        <v>0</v>
      </c>
      <c r="GU10" s="4">
        <f t="shared" si="73"/>
        <v>0</v>
      </c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>
        <f t="shared" si="54"/>
        <v>0</v>
      </c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>
        <f t="shared" si="55"/>
        <v>0</v>
      </c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>
        <f t="shared" si="74"/>
        <v>0</v>
      </c>
      <c r="II10" s="4">
        <f t="shared" si="75"/>
        <v>0</v>
      </c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>
        <f t="shared" si="76"/>
        <v>0</v>
      </c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f t="shared" si="77"/>
        <v>0</v>
      </c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>
        <f t="shared" si="78"/>
        <v>0</v>
      </c>
      <c r="JW10" s="4">
        <f t="shared" si="79"/>
        <v>0</v>
      </c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>
        <f t="shared" si="80"/>
        <v>0</v>
      </c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>
        <f t="shared" si="81"/>
        <v>0</v>
      </c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>
        <f t="shared" si="82"/>
        <v>0</v>
      </c>
      <c r="LK10" s="4">
        <f t="shared" si="83"/>
        <v>0</v>
      </c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>
        <f t="shared" si="84"/>
        <v>0</v>
      </c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>
        <f t="shared" si="85"/>
        <v>0</v>
      </c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>
        <f t="shared" si="86"/>
        <v>0</v>
      </c>
      <c r="MY10" s="4">
        <f t="shared" si="87"/>
        <v>0</v>
      </c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>
        <f t="shared" si="88"/>
        <v>0</v>
      </c>
      <c r="NM10" s="4"/>
      <c r="NN10" s="4"/>
      <c r="NO10" s="4"/>
      <c r="NP10" s="4"/>
      <c r="NQ10" s="4"/>
      <c r="NR10" s="4"/>
      <c r="NS10" s="4">
        <v>960</v>
      </c>
      <c r="NT10" s="4"/>
      <c r="NU10" s="4"/>
      <c r="NV10" s="4"/>
      <c r="NW10" s="4"/>
      <c r="NX10" s="4"/>
      <c r="NY10" s="4">
        <f t="shared" si="89"/>
        <v>960</v>
      </c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>
        <f t="shared" si="90"/>
        <v>0</v>
      </c>
      <c r="OM10" s="4">
        <f t="shared" si="91"/>
        <v>960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>
        <f t="shared" si="92"/>
        <v>0</v>
      </c>
      <c r="PA10" s="13">
        <f t="shared" si="93"/>
        <v>960</v>
      </c>
    </row>
    <row r="11" spans="1:418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56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57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58"/>
        <v>0</v>
      </c>
      <c r="AQ11" s="4">
        <f t="shared" si="59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60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61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62"/>
        <v>0</v>
      </c>
      <c r="CE11" s="4">
        <f t="shared" si="63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64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65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66"/>
        <v>0</v>
      </c>
      <c r="DS11" s="4">
        <f t="shared" si="67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68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69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70"/>
        <v>0</v>
      </c>
      <c r="FG11" s="4">
        <f t="shared" si="71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52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53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72"/>
        <v>0</v>
      </c>
      <c r="GU11" s="4">
        <f t="shared" si="73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54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55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74"/>
        <v>0</v>
      </c>
      <c r="II11" s="4">
        <f t="shared" si="75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76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77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78"/>
        <v>0</v>
      </c>
      <c r="JW11" s="4">
        <f t="shared" si="79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80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81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82"/>
        <v>0</v>
      </c>
      <c r="LK11" s="4">
        <f t="shared" si="83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84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85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86"/>
        <v>0</v>
      </c>
      <c r="MY11" s="4">
        <f t="shared" si="87"/>
        <v>0</v>
      </c>
      <c r="MZ11" s="4">
        <v>116860</v>
      </c>
      <c r="NA11" s="4">
        <v>116860</v>
      </c>
      <c r="NB11" s="4">
        <v>116860</v>
      </c>
      <c r="NC11" s="4">
        <v>116860</v>
      </c>
      <c r="ND11" s="4">
        <v>116860</v>
      </c>
      <c r="NE11" s="4">
        <v>116860</v>
      </c>
      <c r="NF11" s="37">
        <f>35160+122720</f>
        <v>157880</v>
      </c>
      <c r="NG11" s="4">
        <v>122720</v>
      </c>
      <c r="NH11" s="4">
        <v>122720</v>
      </c>
      <c r="NI11" s="4">
        <v>122720</v>
      </c>
      <c r="NJ11" s="4">
        <v>122720</v>
      </c>
      <c r="NK11" s="4">
        <v>122720</v>
      </c>
      <c r="NL11" s="4">
        <f t="shared" si="88"/>
        <v>1472640</v>
      </c>
      <c r="NM11" s="4">
        <v>3750</v>
      </c>
      <c r="NN11" s="4">
        <v>3750</v>
      </c>
      <c r="NO11" s="4">
        <v>3750</v>
      </c>
      <c r="NP11" s="4">
        <v>3750</v>
      </c>
      <c r="NQ11" s="4">
        <v>3750</v>
      </c>
      <c r="NR11" s="4">
        <v>3750</v>
      </c>
      <c r="NS11" s="4">
        <f>13919.52+3750</f>
        <v>17669.52</v>
      </c>
      <c r="NT11" s="4">
        <v>3750</v>
      </c>
      <c r="NU11" s="4">
        <v>3750</v>
      </c>
      <c r="NV11" s="4">
        <v>3750</v>
      </c>
      <c r="NW11" s="4">
        <v>3750</v>
      </c>
      <c r="NX11" s="4">
        <v>3750</v>
      </c>
      <c r="NY11" s="4">
        <f t="shared" si="89"/>
        <v>58919.520000000004</v>
      </c>
      <c r="NZ11" s="4">
        <v>1445</v>
      </c>
      <c r="OA11" s="4">
        <v>1445</v>
      </c>
      <c r="OB11" s="4">
        <v>1445</v>
      </c>
      <c r="OC11" s="4">
        <v>1445</v>
      </c>
      <c r="OD11" s="4">
        <v>1445</v>
      </c>
      <c r="OE11" s="4">
        <v>1445</v>
      </c>
      <c r="OF11" s="37">
        <f>432+1517</f>
        <v>1949</v>
      </c>
      <c r="OG11" s="4">
        <v>1517</v>
      </c>
      <c r="OH11" s="4">
        <v>1517</v>
      </c>
      <c r="OI11" s="4">
        <v>1517</v>
      </c>
      <c r="OJ11" s="4">
        <v>1517</v>
      </c>
      <c r="OK11" s="4">
        <v>755</v>
      </c>
      <c r="OL11" s="4">
        <f t="shared" si="90"/>
        <v>17442</v>
      </c>
      <c r="OM11" s="4">
        <f t="shared" si="91"/>
        <v>1549001.52</v>
      </c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>
        <f t="shared" si="92"/>
        <v>0</v>
      </c>
      <c r="PA11" s="13">
        <f t="shared" si="93"/>
        <v>1549001.52</v>
      </c>
    </row>
    <row r="12" spans="1:418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56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57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58"/>
        <v>0</v>
      </c>
      <c r="AQ12" s="4">
        <f t="shared" si="59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60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61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62"/>
        <v>0</v>
      </c>
      <c r="CE12" s="4">
        <f t="shared" si="63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64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65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66"/>
        <v>0</v>
      </c>
      <c r="DS12" s="4">
        <f t="shared" si="67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68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69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70"/>
        <v>0</v>
      </c>
      <c r="FG12" s="4">
        <f t="shared" si="71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52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53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72"/>
        <v>0</v>
      </c>
      <c r="GU12" s="4">
        <f t="shared" si="73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54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55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74"/>
        <v>0</v>
      </c>
      <c r="II12" s="4">
        <f t="shared" si="75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76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77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78"/>
        <v>0</v>
      </c>
      <c r="JW12" s="4">
        <f t="shared" si="79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80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81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82"/>
        <v>0</v>
      </c>
      <c r="LK12" s="4">
        <f t="shared" si="83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84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85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86"/>
        <v>0</v>
      </c>
      <c r="MY12" s="4">
        <f t="shared" si="87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88"/>
        <v>0</v>
      </c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>
        <f t="shared" si="89"/>
        <v>0</v>
      </c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>
        <f t="shared" si="90"/>
        <v>0</v>
      </c>
      <c r="OM12" s="4">
        <f t="shared" si="91"/>
        <v>0</v>
      </c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f t="shared" si="92"/>
        <v>0</v>
      </c>
      <c r="PA12" s="13">
        <f t="shared" si="93"/>
        <v>0</v>
      </c>
    </row>
    <row r="13" spans="1:418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56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57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58"/>
        <v>0</v>
      </c>
      <c r="AQ13" s="4">
        <f t="shared" si="59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60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61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62"/>
        <v>0</v>
      </c>
      <c r="CE13" s="4">
        <f t="shared" si="63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64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65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66"/>
        <v>0</v>
      </c>
      <c r="DS13" s="4">
        <f t="shared" si="67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68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69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70"/>
        <v>0</v>
      </c>
      <c r="FG13" s="4">
        <f t="shared" si="71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52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53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72"/>
        <v>0</v>
      </c>
      <c r="GU13" s="4">
        <f t="shared" si="73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54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55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74"/>
        <v>0</v>
      </c>
      <c r="II13" s="4">
        <f t="shared" si="75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76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77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78"/>
        <v>0</v>
      </c>
      <c r="JW13" s="4">
        <f t="shared" si="79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80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81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82"/>
        <v>0</v>
      </c>
      <c r="LK13" s="4">
        <f t="shared" si="83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84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85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86"/>
        <v>0</v>
      </c>
      <c r="MY13" s="4">
        <f t="shared" si="87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88"/>
        <v>0</v>
      </c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>
        <f t="shared" si="89"/>
        <v>0</v>
      </c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>
        <f t="shared" si="90"/>
        <v>0</v>
      </c>
      <c r="OM13" s="4">
        <f t="shared" si="91"/>
        <v>0</v>
      </c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>
        <f t="shared" si="92"/>
        <v>0</v>
      </c>
      <c r="PA13" s="13">
        <f t="shared" si="93"/>
        <v>0</v>
      </c>
      <c r="PB13" s="84">
        <f>SUM(PA6:PA13)</f>
        <v>10795851.489999998</v>
      </c>
    </row>
    <row r="14" spans="1:418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56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57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58"/>
        <v>0</v>
      </c>
      <c r="AQ14" s="4">
        <f t="shared" si="59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60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61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62"/>
        <v>0</v>
      </c>
      <c r="CE14" s="4">
        <f t="shared" si="63"/>
        <v>0</v>
      </c>
      <c r="CF14" s="4">
        <v>65640</v>
      </c>
      <c r="CG14" s="4">
        <v>65640</v>
      </c>
      <c r="CH14" s="4">
        <v>65640</v>
      </c>
      <c r="CI14" s="4">
        <v>65640</v>
      </c>
      <c r="CJ14" s="4">
        <v>65640</v>
      </c>
      <c r="CK14" s="4">
        <v>65640</v>
      </c>
      <c r="CL14" s="37">
        <f>17520+68560</f>
        <v>86080</v>
      </c>
      <c r="CM14" s="4">
        <v>68560</v>
      </c>
      <c r="CN14" s="4">
        <v>68560</v>
      </c>
      <c r="CO14" s="4">
        <v>68560</v>
      </c>
      <c r="CP14" s="4">
        <v>68560</v>
      </c>
      <c r="CQ14" s="4">
        <v>68560</v>
      </c>
      <c r="CR14" s="4">
        <f t="shared" si="64"/>
        <v>822720</v>
      </c>
      <c r="CS14" s="4">
        <v>1500</v>
      </c>
      <c r="CT14" s="4">
        <v>1500</v>
      </c>
      <c r="CU14" s="4">
        <v>1500</v>
      </c>
      <c r="CV14" s="4">
        <v>1500</v>
      </c>
      <c r="CW14" s="4">
        <v>1500</v>
      </c>
      <c r="CX14" s="4">
        <f>1500+61.34</f>
        <v>1561.34</v>
      </c>
      <c r="CY14" s="4">
        <v>1500</v>
      </c>
      <c r="CZ14" s="4">
        <v>1500</v>
      </c>
      <c r="DA14" s="4">
        <v>1500</v>
      </c>
      <c r="DB14" s="4">
        <v>1500</v>
      </c>
      <c r="DC14" s="4">
        <v>1500</v>
      </c>
      <c r="DD14" s="4">
        <v>1500</v>
      </c>
      <c r="DE14" s="4">
        <f t="shared" si="65"/>
        <v>18061.34</v>
      </c>
      <c r="DF14" s="4">
        <v>980</v>
      </c>
      <c r="DG14" s="4">
        <v>980</v>
      </c>
      <c r="DH14" s="4">
        <v>980</v>
      </c>
      <c r="DI14" s="4">
        <v>980</v>
      </c>
      <c r="DJ14" s="4">
        <v>1969</v>
      </c>
      <c r="DK14" s="4">
        <v>1969</v>
      </c>
      <c r="DL14" s="37">
        <f>368+2056</f>
        <v>2424</v>
      </c>
      <c r="DM14" s="4">
        <v>2056</v>
      </c>
      <c r="DN14" s="4">
        <v>2056</v>
      </c>
      <c r="DO14" s="4">
        <v>2056</v>
      </c>
      <c r="DP14" s="4">
        <v>2056</v>
      </c>
      <c r="DQ14" s="4">
        <v>2056</v>
      </c>
      <c r="DR14" s="4">
        <f t="shared" si="66"/>
        <v>20562</v>
      </c>
      <c r="DS14" s="4">
        <f t="shared" si="67"/>
        <v>861343.34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68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69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70"/>
        <v>0</v>
      </c>
      <c r="FG14" s="4">
        <f t="shared" si="71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52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53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72"/>
        <v>0</v>
      </c>
      <c r="GU14" s="4">
        <f t="shared" si="73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54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55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74"/>
        <v>0</v>
      </c>
      <c r="II14" s="4">
        <f t="shared" si="75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76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77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78"/>
        <v>0</v>
      </c>
      <c r="JW14" s="4">
        <f t="shared" si="79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80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81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82"/>
        <v>0</v>
      </c>
      <c r="LK14" s="4">
        <f t="shared" si="83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84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85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86"/>
        <v>0</v>
      </c>
      <c r="MY14" s="4">
        <f t="shared" si="87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88"/>
        <v>0</v>
      </c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>
        <f t="shared" si="89"/>
        <v>0</v>
      </c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>
        <f t="shared" si="90"/>
        <v>0</v>
      </c>
      <c r="OM14" s="4">
        <f t="shared" si="91"/>
        <v>0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>
        <f t="shared" si="92"/>
        <v>0</v>
      </c>
      <c r="PA14" s="13">
        <f t="shared" si="93"/>
        <v>861343.34</v>
      </c>
    </row>
    <row r="15" spans="1:418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56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57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58"/>
        <v>0</v>
      </c>
      <c r="AQ15" s="4">
        <f t="shared" si="59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60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61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62"/>
        <v>0</v>
      </c>
      <c r="CE15" s="4">
        <f t="shared" si="63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64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65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66"/>
        <v>0</v>
      </c>
      <c r="DS15" s="4">
        <f t="shared" si="67"/>
        <v>0</v>
      </c>
      <c r="DT15" s="4">
        <v>31500</v>
      </c>
      <c r="DU15" s="4">
        <v>31500</v>
      </c>
      <c r="DV15" s="4">
        <v>31500</v>
      </c>
      <c r="DW15" s="4">
        <v>31500</v>
      </c>
      <c r="DX15" s="4">
        <v>31500</v>
      </c>
      <c r="DY15" s="4">
        <v>31500</v>
      </c>
      <c r="DZ15" s="4">
        <v>31500</v>
      </c>
      <c r="EA15" s="4">
        <v>31500</v>
      </c>
      <c r="EB15" s="4">
        <v>31500</v>
      </c>
      <c r="EC15" s="4">
        <v>31500</v>
      </c>
      <c r="ED15" s="4">
        <v>31500</v>
      </c>
      <c r="EE15" s="4">
        <v>31500</v>
      </c>
      <c r="EF15" s="4">
        <f t="shared" si="68"/>
        <v>378000</v>
      </c>
      <c r="EG15" s="4">
        <v>750</v>
      </c>
      <c r="EH15" s="4">
        <v>750</v>
      </c>
      <c r="EI15" s="4">
        <v>750</v>
      </c>
      <c r="EJ15" s="4">
        <v>750</v>
      </c>
      <c r="EK15" s="4">
        <v>750</v>
      </c>
      <c r="EL15" s="4">
        <f>750+30.67</f>
        <v>780.67</v>
      </c>
      <c r="EM15" s="4">
        <v>750</v>
      </c>
      <c r="EN15" s="4">
        <v>750</v>
      </c>
      <c r="EO15" s="4">
        <v>750</v>
      </c>
      <c r="EP15" s="4">
        <v>750</v>
      </c>
      <c r="EQ15" s="4">
        <v>750</v>
      </c>
      <c r="ER15" s="4">
        <v>750</v>
      </c>
      <c r="ES15" s="4">
        <f t="shared" si="69"/>
        <v>9030.67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f t="shared" si="70"/>
        <v>0</v>
      </c>
      <c r="FG15" s="4">
        <f t="shared" si="71"/>
        <v>387030.67</v>
      </c>
      <c r="FH15" s="4">
        <v>123480</v>
      </c>
      <c r="FI15" s="4">
        <v>123480</v>
      </c>
      <c r="FJ15" s="4">
        <v>123480</v>
      </c>
      <c r="FK15" s="4">
        <v>123480</v>
      </c>
      <c r="FL15" s="4">
        <v>123480</v>
      </c>
      <c r="FM15" s="4">
        <v>123480</v>
      </c>
      <c r="FN15" s="37">
        <f>23460+127390</f>
        <v>150850</v>
      </c>
      <c r="FO15" s="4">
        <v>127390</v>
      </c>
      <c r="FP15" s="4">
        <v>127390</v>
      </c>
      <c r="FQ15" s="4">
        <v>127390</v>
      </c>
      <c r="FR15" s="4">
        <v>127390</v>
      </c>
      <c r="FS15" s="4">
        <v>127390</v>
      </c>
      <c r="FT15" s="4">
        <f t="shared" si="52"/>
        <v>1528680</v>
      </c>
      <c r="FU15" s="4">
        <v>3000</v>
      </c>
      <c r="FV15" s="4">
        <v>3000</v>
      </c>
      <c r="FW15" s="4">
        <v>3000</v>
      </c>
      <c r="FX15" s="4">
        <v>3000</v>
      </c>
      <c r="FY15" s="4">
        <v>3000</v>
      </c>
      <c r="FZ15" s="4">
        <f>3000+122.68</f>
        <v>3122.68</v>
      </c>
      <c r="GA15" s="4">
        <v>3000</v>
      </c>
      <c r="GB15" s="4">
        <v>3000</v>
      </c>
      <c r="GC15" s="4">
        <v>3000</v>
      </c>
      <c r="GD15" s="4">
        <v>3000</v>
      </c>
      <c r="GE15" s="4">
        <v>3000</v>
      </c>
      <c r="GF15" s="4">
        <v>3000</v>
      </c>
      <c r="GG15" s="4">
        <f t="shared" si="53"/>
        <v>36122.68</v>
      </c>
      <c r="GH15" s="4">
        <v>996</v>
      </c>
      <c r="GI15" s="4">
        <v>996</v>
      </c>
      <c r="GJ15" s="4">
        <v>996</v>
      </c>
      <c r="GK15" s="4">
        <v>996</v>
      </c>
      <c r="GL15" s="4">
        <v>996</v>
      </c>
      <c r="GM15" s="4">
        <v>996</v>
      </c>
      <c r="GN15" s="37">
        <f>300+1046</f>
        <v>1346</v>
      </c>
      <c r="GO15" s="4">
        <v>1046</v>
      </c>
      <c r="GP15" s="4">
        <v>1046</v>
      </c>
      <c r="GQ15" s="4">
        <v>1046</v>
      </c>
      <c r="GR15" s="4">
        <v>1046</v>
      </c>
      <c r="GS15" s="4">
        <v>1046</v>
      </c>
      <c r="GT15" s="4">
        <f t="shared" si="72"/>
        <v>12552</v>
      </c>
      <c r="GU15" s="4">
        <f t="shared" si="73"/>
        <v>1577354.68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54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55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74"/>
        <v>0</v>
      </c>
      <c r="II15" s="4">
        <f t="shared" si="75"/>
        <v>0</v>
      </c>
      <c r="IJ15" s="4">
        <v>120290</v>
      </c>
      <c r="IK15" s="4">
        <v>120290</v>
      </c>
      <c r="IL15" s="4">
        <v>120290</v>
      </c>
      <c r="IM15" s="4">
        <f>29467.74+151790</f>
        <v>181257.74</v>
      </c>
      <c r="IN15" s="4">
        <v>151790</v>
      </c>
      <c r="IO15" s="4">
        <v>151790</v>
      </c>
      <c r="IP15" s="37">
        <f>20580+155220</f>
        <v>175800</v>
      </c>
      <c r="IQ15" s="4">
        <v>155220</v>
      </c>
      <c r="IR15" s="4">
        <v>155220</v>
      </c>
      <c r="IS15" s="4">
        <v>155220</v>
      </c>
      <c r="IT15" s="4">
        <v>155220</v>
      </c>
      <c r="IU15" s="4">
        <v>155220</v>
      </c>
      <c r="IV15" s="4">
        <f t="shared" si="76"/>
        <v>1797607.74</v>
      </c>
      <c r="IW15" s="4">
        <v>3000</v>
      </c>
      <c r="IX15" s="4">
        <v>3000</v>
      </c>
      <c r="IY15" s="4">
        <v>3000</v>
      </c>
      <c r="IZ15" s="4">
        <f>750+3750</f>
        <v>4500</v>
      </c>
      <c r="JA15" s="4">
        <v>3750</v>
      </c>
      <c r="JB15" s="4">
        <f>3750+153.35</f>
        <v>3903.35</v>
      </c>
      <c r="JC15" s="4">
        <v>3750</v>
      </c>
      <c r="JD15" s="4">
        <v>3750</v>
      </c>
      <c r="JE15" s="4">
        <v>3750</v>
      </c>
      <c r="JF15" s="4">
        <v>3750</v>
      </c>
      <c r="JG15" s="4">
        <v>3750</v>
      </c>
      <c r="JH15" s="4">
        <v>3750</v>
      </c>
      <c r="JI15" s="4">
        <f t="shared" si="77"/>
        <v>43653.35</v>
      </c>
      <c r="JJ15" s="4">
        <v>1734</v>
      </c>
      <c r="JK15" s="4">
        <v>1734</v>
      </c>
      <c r="JL15" s="4">
        <v>1734</v>
      </c>
      <c r="JM15" s="4">
        <v>1734</v>
      </c>
      <c r="JN15" s="4">
        <v>2679</v>
      </c>
      <c r="JO15" s="4">
        <v>2679</v>
      </c>
      <c r="JP15" s="37">
        <f>510+2765</f>
        <v>3275</v>
      </c>
      <c r="JQ15" s="4">
        <v>2765</v>
      </c>
      <c r="JR15" s="4">
        <v>2765</v>
      </c>
      <c r="JS15" s="4">
        <v>2765</v>
      </c>
      <c r="JT15" s="4">
        <v>3710</v>
      </c>
      <c r="JU15" s="4">
        <v>3710</v>
      </c>
      <c r="JV15" s="4">
        <f t="shared" si="78"/>
        <v>31284</v>
      </c>
      <c r="JW15" s="4">
        <f t="shared" si="79"/>
        <v>1872545.09</v>
      </c>
      <c r="JX15" s="4">
        <v>127640</v>
      </c>
      <c r="JY15" s="4">
        <v>127640</v>
      </c>
      <c r="JZ15" s="4">
        <v>127640</v>
      </c>
      <c r="KA15" s="4">
        <v>127640</v>
      </c>
      <c r="KB15" s="4">
        <v>127640</v>
      </c>
      <c r="KC15" s="4">
        <v>127640</v>
      </c>
      <c r="KD15" s="37">
        <f>30240+132680</f>
        <v>162920</v>
      </c>
      <c r="KE15" s="4">
        <v>132680</v>
      </c>
      <c r="KF15" s="4">
        <v>132680</v>
      </c>
      <c r="KG15" s="4">
        <v>132680</v>
      </c>
      <c r="KH15" s="4">
        <v>132680</v>
      </c>
      <c r="KI15" s="4">
        <v>132680</v>
      </c>
      <c r="KJ15" s="4">
        <f t="shared" si="80"/>
        <v>1592160</v>
      </c>
      <c r="KK15" s="4">
        <v>3000</v>
      </c>
      <c r="KL15" s="4">
        <v>3000</v>
      </c>
      <c r="KM15" s="4">
        <v>3000</v>
      </c>
      <c r="KN15" s="4">
        <v>3000</v>
      </c>
      <c r="KO15" s="4">
        <v>3000</v>
      </c>
      <c r="KP15" s="4">
        <f>3000+122.68</f>
        <v>3122.68</v>
      </c>
      <c r="KQ15" s="4">
        <v>3000</v>
      </c>
      <c r="KR15" s="4">
        <v>3000</v>
      </c>
      <c r="KS15" s="4">
        <v>3000</v>
      </c>
      <c r="KT15" s="4">
        <v>3000</v>
      </c>
      <c r="KU15" s="4">
        <v>3000</v>
      </c>
      <c r="KV15" s="4">
        <v>3000</v>
      </c>
      <c r="KW15" s="4">
        <f t="shared" si="81"/>
        <v>36122.68</v>
      </c>
      <c r="KX15" s="4">
        <v>992</v>
      </c>
      <c r="KY15" s="4">
        <v>992</v>
      </c>
      <c r="KZ15" s="4">
        <v>992</v>
      </c>
      <c r="LA15" s="4">
        <v>992</v>
      </c>
      <c r="LB15" s="4">
        <v>992</v>
      </c>
      <c r="LC15" s="4">
        <v>992</v>
      </c>
      <c r="LD15" s="37">
        <f>240+1031</f>
        <v>1271</v>
      </c>
      <c r="LE15" s="4">
        <v>1031</v>
      </c>
      <c r="LF15" s="4">
        <v>1031</v>
      </c>
      <c r="LG15" s="4">
        <v>1031</v>
      </c>
      <c r="LH15" s="4">
        <v>1031</v>
      </c>
      <c r="LI15" s="4">
        <v>1031</v>
      </c>
      <c r="LJ15" s="4">
        <f t="shared" si="82"/>
        <v>12378</v>
      </c>
      <c r="LK15" s="4">
        <f t="shared" si="83"/>
        <v>1640660.68</v>
      </c>
      <c r="LL15" s="4">
        <v>115410</v>
      </c>
      <c r="LM15" s="4">
        <v>115410</v>
      </c>
      <c r="LN15" s="4">
        <v>115410</v>
      </c>
      <c r="LO15" s="4">
        <f>24556.45+141660</f>
        <v>166216.45000000001</v>
      </c>
      <c r="LP15" s="4">
        <v>141660</v>
      </c>
      <c r="LQ15" s="4">
        <v>141660</v>
      </c>
      <c r="LR15" s="37">
        <f>15240+144200</f>
        <v>159440</v>
      </c>
      <c r="LS15" s="4">
        <v>144200</v>
      </c>
      <c r="LT15" s="4">
        <v>144200</v>
      </c>
      <c r="LU15" s="4">
        <v>144200</v>
      </c>
      <c r="LV15" s="4">
        <v>144200</v>
      </c>
      <c r="LW15" s="4">
        <f>5927.42+144200</f>
        <v>150127.42000000001</v>
      </c>
      <c r="LX15" s="4">
        <f t="shared" si="84"/>
        <v>1682133.8699999999</v>
      </c>
      <c r="LY15" s="4">
        <v>3000</v>
      </c>
      <c r="LZ15" s="4">
        <v>3000</v>
      </c>
      <c r="MA15" s="4">
        <v>3000</v>
      </c>
      <c r="MB15" s="4">
        <f>750+3750</f>
        <v>4500</v>
      </c>
      <c r="MC15" s="4">
        <v>3750</v>
      </c>
      <c r="MD15" s="4">
        <f>3750+153.35</f>
        <v>3903.35</v>
      </c>
      <c r="ME15" s="4">
        <v>3750</v>
      </c>
      <c r="MF15" s="4">
        <v>3750</v>
      </c>
      <c r="MG15" s="4">
        <v>3750</v>
      </c>
      <c r="MH15" s="4">
        <v>3750</v>
      </c>
      <c r="MI15" s="4">
        <v>3750</v>
      </c>
      <c r="MJ15" s="4">
        <f>179+3750</f>
        <v>3929</v>
      </c>
      <c r="MK15" s="4">
        <f t="shared" si="85"/>
        <v>43832.35</v>
      </c>
      <c r="ML15" s="4">
        <v>3463</v>
      </c>
      <c r="MM15" s="4">
        <v>3463</v>
      </c>
      <c r="MN15" s="4">
        <v>3463</v>
      </c>
      <c r="MO15" s="4">
        <v>3463</v>
      </c>
      <c r="MP15" s="4">
        <v>3463</v>
      </c>
      <c r="MQ15" s="4">
        <v>3463</v>
      </c>
      <c r="MR15" s="37">
        <f>456+3539</f>
        <v>3995</v>
      </c>
      <c r="MS15" s="4">
        <v>3539</v>
      </c>
      <c r="MT15" s="4">
        <v>3539</v>
      </c>
      <c r="MU15" s="4">
        <v>3539</v>
      </c>
      <c r="MV15" s="4">
        <v>4327</v>
      </c>
      <c r="MW15" s="4">
        <v>4327</v>
      </c>
      <c r="MX15" s="4">
        <f t="shared" si="86"/>
        <v>44044</v>
      </c>
      <c r="MY15" s="4">
        <f t="shared" si="87"/>
        <v>1770010.22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88"/>
        <v>0</v>
      </c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>
        <f t="shared" si="89"/>
        <v>0</v>
      </c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>
        <f t="shared" si="90"/>
        <v>0</v>
      </c>
      <c r="OM15" s="4">
        <f t="shared" si="91"/>
        <v>0</v>
      </c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>
        <f t="shared" si="92"/>
        <v>0</v>
      </c>
      <c r="PA15" s="13">
        <f t="shared" si="93"/>
        <v>7247601.3399999999</v>
      </c>
    </row>
    <row r="16" spans="1:418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56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57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58"/>
        <v>0</v>
      </c>
      <c r="AQ16" s="4">
        <f t="shared" si="59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60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61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62"/>
        <v>0</v>
      </c>
      <c r="CE16" s="4">
        <f t="shared" si="63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64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65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66"/>
        <v>0</v>
      </c>
      <c r="DS16" s="4">
        <f t="shared" si="67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68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69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70"/>
        <v>0</v>
      </c>
      <c r="FG16" s="4">
        <f t="shared" si="71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52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53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72"/>
        <v>0</v>
      </c>
      <c r="GU16" s="4">
        <f t="shared" si="73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54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55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74"/>
        <v>0</v>
      </c>
      <c r="II16" s="4">
        <f t="shared" si="75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76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77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78"/>
        <v>0</v>
      </c>
      <c r="JW16" s="4">
        <f t="shared" si="79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80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81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82"/>
        <v>0</v>
      </c>
      <c r="LK16" s="4">
        <f t="shared" si="83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84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85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86"/>
        <v>0</v>
      </c>
      <c r="MY16" s="4">
        <f t="shared" si="87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88"/>
        <v>0</v>
      </c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>
        <f t="shared" si="89"/>
        <v>0</v>
      </c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>
        <f t="shared" si="90"/>
        <v>0</v>
      </c>
      <c r="OM16" s="4">
        <f t="shared" si="91"/>
        <v>0</v>
      </c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>
        <f t="shared" si="92"/>
        <v>0</v>
      </c>
      <c r="PA16" s="13">
        <f t="shared" si="93"/>
        <v>0</v>
      </c>
    </row>
    <row r="17" spans="1:418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56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57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58"/>
        <v>0</v>
      </c>
      <c r="AQ17" s="4">
        <f t="shared" si="59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60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61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62"/>
        <v>0</v>
      </c>
      <c r="CE17" s="4">
        <f t="shared" si="63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64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65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66"/>
        <v>0</v>
      </c>
      <c r="DS17" s="4">
        <f t="shared" si="67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68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69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70"/>
        <v>0</v>
      </c>
      <c r="FG17" s="4">
        <f t="shared" si="71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52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53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72"/>
        <v>0</v>
      </c>
      <c r="GU17" s="4">
        <f t="shared" si="73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54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55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74"/>
        <v>0</v>
      </c>
      <c r="II17" s="4">
        <f t="shared" si="75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76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77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78"/>
        <v>0</v>
      </c>
      <c r="JW17" s="4">
        <f t="shared" si="79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80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81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82"/>
        <v>0</v>
      </c>
      <c r="LK17" s="4">
        <f t="shared" si="83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84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85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86"/>
        <v>0</v>
      </c>
      <c r="MY17" s="4">
        <f t="shared" si="87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88"/>
        <v>0</v>
      </c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>
        <f t="shared" si="89"/>
        <v>0</v>
      </c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>
        <f t="shared" si="90"/>
        <v>0</v>
      </c>
      <c r="OM17" s="4">
        <f t="shared" si="91"/>
        <v>0</v>
      </c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>
        <f t="shared" si="92"/>
        <v>0</v>
      </c>
      <c r="PA17" s="13">
        <f t="shared" si="93"/>
        <v>0</v>
      </c>
    </row>
    <row r="18" spans="1:418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56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57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58"/>
        <v>0</v>
      </c>
      <c r="AQ18" s="4">
        <f t="shared" si="59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60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61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62"/>
        <v>0</v>
      </c>
      <c r="CE18" s="4">
        <f t="shared" si="63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64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65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66"/>
        <v>0</v>
      </c>
      <c r="DS18" s="4">
        <f t="shared" si="67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68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69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70"/>
        <v>0</v>
      </c>
      <c r="FG18" s="4">
        <f t="shared" si="71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52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53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72"/>
        <v>0</v>
      </c>
      <c r="GU18" s="4">
        <f t="shared" si="73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54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55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74"/>
        <v>0</v>
      </c>
      <c r="II18" s="4">
        <f t="shared" si="75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76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77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78"/>
        <v>0</v>
      </c>
      <c r="JW18" s="4">
        <f t="shared" si="79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80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81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82"/>
        <v>0</v>
      </c>
      <c r="LK18" s="4">
        <f t="shared" si="83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84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85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86"/>
        <v>0</v>
      </c>
      <c r="MY18" s="4">
        <f t="shared" si="87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88"/>
        <v>0</v>
      </c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>
        <f t="shared" si="89"/>
        <v>0</v>
      </c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>
        <f t="shared" si="90"/>
        <v>0</v>
      </c>
      <c r="OM18" s="4">
        <f t="shared" si="91"/>
        <v>0</v>
      </c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>
        <f t="shared" si="92"/>
        <v>0</v>
      </c>
      <c r="PA18" s="13">
        <f t="shared" si="93"/>
        <v>0</v>
      </c>
    </row>
    <row r="19" spans="1:418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56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57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58"/>
        <v>0</v>
      </c>
      <c r="AQ19" s="4">
        <f t="shared" si="59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60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61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62"/>
        <v>0</v>
      </c>
      <c r="CE19" s="4">
        <f t="shared" si="63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64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65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66"/>
        <v>0</v>
      </c>
      <c r="DS19" s="4">
        <f t="shared" si="67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68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69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70"/>
        <v>0</v>
      </c>
      <c r="FG19" s="4">
        <f t="shared" si="71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52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53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72"/>
        <v>0</v>
      </c>
      <c r="GU19" s="4">
        <f t="shared" si="73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54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55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74"/>
        <v>0</v>
      </c>
      <c r="II19" s="4">
        <f t="shared" si="75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76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77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78"/>
        <v>0</v>
      </c>
      <c r="JW19" s="4">
        <f t="shared" si="79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80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81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82"/>
        <v>0</v>
      </c>
      <c r="LK19" s="4">
        <f t="shared" si="83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84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85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86"/>
        <v>0</v>
      </c>
      <c r="MY19" s="4">
        <f t="shared" si="87"/>
        <v>0</v>
      </c>
      <c r="MZ19" s="4">
        <v>237850</v>
      </c>
      <c r="NA19" s="4">
        <v>237850</v>
      </c>
      <c r="NB19" s="4">
        <v>237850</v>
      </c>
      <c r="NC19" s="4">
        <v>237850</v>
      </c>
      <c r="ND19" s="4">
        <v>237850</v>
      </c>
      <c r="NE19" s="4">
        <v>237850</v>
      </c>
      <c r="NF19" s="37">
        <f>70140+249540</f>
        <v>319680</v>
      </c>
      <c r="NG19" s="4">
        <v>249540</v>
      </c>
      <c r="NH19" s="4">
        <v>249540</v>
      </c>
      <c r="NI19" s="4">
        <v>249540</v>
      </c>
      <c r="NJ19" s="4">
        <v>249540</v>
      </c>
      <c r="NK19" s="4">
        <v>249540</v>
      </c>
      <c r="NL19" s="4">
        <f t="shared" si="88"/>
        <v>2994480</v>
      </c>
      <c r="NM19" s="4">
        <v>7500</v>
      </c>
      <c r="NN19" s="4">
        <v>7500</v>
      </c>
      <c r="NO19" s="4">
        <v>7500</v>
      </c>
      <c r="NP19" s="4">
        <v>7500</v>
      </c>
      <c r="NQ19" s="4">
        <v>7500</v>
      </c>
      <c r="NR19" s="4">
        <f>7500+306.67</f>
        <v>7806.67</v>
      </c>
      <c r="NS19" s="4">
        <v>7500</v>
      </c>
      <c r="NT19" s="4">
        <v>7500</v>
      </c>
      <c r="NU19" s="4">
        <v>7500</v>
      </c>
      <c r="NV19" s="4">
        <v>7500</v>
      </c>
      <c r="NW19" s="4">
        <v>7500</v>
      </c>
      <c r="NX19" s="4">
        <v>7500</v>
      </c>
      <c r="NY19" s="4">
        <f t="shared" si="89"/>
        <v>90306.67</v>
      </c>
      <c r="NZ19" s="4">
        <v>3487</v>
      </c>
      <c r="OA19" s="4">
        <v>3487</v>
      </c>
      <c r="OB19" s="4">
        <v>3487</v>
      </c>
      <c r="OC19" s="4">
        <v>3487</v>
      </c>
      <c r="OD19" s="4">
        <v>3487</v>
      </c>
      <c r="OE19" s="4">
        <v>3487</v>
      </c>
      <c r="OF19" s="37">
        <f>1008+5197</f>
        <v>6205</v>
      </c>
      <c r="OG19" s="4">
        <v>5197</v>
      </c>
      <c r="OH19" s="4">
        <v>5197</v>
      </c>
      <c r="OI19" s="4">
        <v>5197</v>
      </c>
      <c r="OJ19" s="4">
        <v>5197</v>
      </c>
      <c r="OK19" s="4">
        <v>5197</v>
      </c>
      <c r="OL19" s="4">
        <f t="shared" si="90"/>
        <v>53112</v>
      </c>
      <c r="OM19" s="4">
        <f t="shared" si="91"/>
        <v>3137898.67</v>
      </c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>
        <f t="shared" si="92"/>
        <v>0</v>
      </c>
      <c r="PA19" s="13">
        <f t="shared" si="93"/>
        <v>3137898.67</v>
      </c>
    </row>
    <row r="20" spans="1:418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56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57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58"/>
        <v>0</v>
      </c>
      <c r="AQ20" s="4">
        <f t="shared" si="59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60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61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62"/>
        <v>0</v>
      </c>
      <c r="CE20" s="4">
        <f t="shared" si="63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64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65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66"/>
        <v>0</v>
      </c>
      <c r="DS20" s="4">
        <f t="shared" si="67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68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69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70"/>
        <v>0</v>
      </c>
      <c r="FG20" s="4">
        <f t="shared" si="71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52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53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72"/>
        <v>0</v>
      </c>
      <c r="GU20" s="4">
        <f t="shared" si="73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54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55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74"/>
        <v>0</v>
      </c>
      <c r="II20" s="4">
        <f t="shared" si="75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76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77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78"/>
        <v>0</v>
      </c>
      <c r="JW20" s="4">
        <f t="shared" si="79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80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81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82"/>
        <v>0</v>
      </c>
      <c r="LK20" s="4">
        <f t="shared" si="83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84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85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86"/>
        <v>0</v>
      </c>
      <c r="MY20" s="4">
        <f t="shared" si="87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88"/>
        <v>0</v>
      </c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>
        <f t="shared" si="89"/>
        <v>0</v>
      </c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>
        <f t="shared" si="90"/>
        <v>0</v>
      </c>
      <c r="OM20" s="4">
        <f t="shared" si="91"/>
        <v>0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>
        <f t="shared" si="92"/>
        <v>0</v>
      </c>
      <c r="PA20" s="13">
        <f t="shared" si="93"/>
        <v>0</v>
      </c>
    </row>
    <row r="21" spans="1:418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56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57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58"/>
        <v>0</v>
      </c>
      <c r="AQ21" s="4">
        <f t="shared" si="59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60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61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62"/>
        <v>0</v>
      </c>
      <c r="CE21" s="4">
        <f t="shared" si="63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64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65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66"/>
        <v>0</v>
      </c>
      <c r="DS21" s="4">
        <f t="shared" si="67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68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69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70"/>
        <v>0</v>
      </c>
      <c r="FG21" s="4">
        <f t="shared" si="71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52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53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72"/>
        <v>0</v>
      </c>
      <c r="GU21" s="4">
        <f t="shared" si="73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54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55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74"/>
        <v>0</v>
      </c>
      <c r="II21" s="4">
        <f t="shared" si="75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76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77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78"/>
        <v>0</v>
      </c>
      <c r="JW21" s="4">
        <f t="shared" si="79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80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81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82"/>
        <v>0</v>
      </c>
      <c r="LK21" s="4">
        <f t="shared" si="83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84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85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86"/>
        <v>0</v>
      </c>
      <c r="MY21" s="4">
        <f t="shared" si="87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88"/>
        <v>0</v>
      </c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>
        <f t="shared" si="89"/>
        <v>0</v>
      </c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>
        <f t="shared" si="90"/>
        <v>0</v>
      </c>
      <c r="OM21" s="4">
        <f t="shared" si="91"/>
        <v>0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>
        <f t="shared" si="92"/>
        <v>0</v>
      </c>
      <c r="PA21" s="13">
        <f t="shared" si="93"/>
        <v>0</v>
      </c>
      <c r="PB21" s="84">
        <f>SUM(PA14:PA21)</f>
        <v>11246843.35</v>
      </c>
    </row>
    <row r="22" spans="1:418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56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57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58"/>
        <v>0</v>
      </c>
      <c r="AQ22" s="4">
        <f t="shared" si="59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60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61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62"/>
        <v>0</v>
      </c>
      <c r="CE22" s="4">
        <f t="shared" si="63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64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65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66"/>
        <v>0</v>
      </c>
      <c r="DS22" s="4">
        <f t="shared" si="67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68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69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70"/>
        <v>0</v>
      </c>
      <c r="FG22" s="4">
        <f t="shared" si="71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52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53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72"/>
        <v>0</v>
      </c>
      <c r="GU22" s="4">
        <f t="shared" si="73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54"/>
        <v>0</v>
      </c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>
        <f t="shared" si="55"/>
        <v>0</v>
      </c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>
        <f t="shared" si="74"/>
        <v>0</v>
      </c>
      <c r="II22" s="4">
        <f t="shared" si="75"/>
        <v>0</v>
      </c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>
        <f t="shared" si="76"/>
        <v>0</v>
      </c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f t="shared" si="77"/>
        <v>0</v>
      </c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>
        <f t="shared" si="78"/>
        <v>0</v>
      </c>
      <c r="JW22" s="4">
        <f t="shared" si="79"/>
        <v>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80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81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82"/>
        <v>0</v>
      </c>
      <c r="LK22" s="4">
        <f t="shared" si="83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84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85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86"/>
        <v>0</v>
      </c>
      <c r="MY22" s="4">
        <f t="shared" si="87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88"/>
        <v>0</v>
      </c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>
        <f t="shared" si="89"/>
        <v>0</v>
      </c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>
        <f t="shared" si="90"/>
        <v>0</v>
      </c>
      <c r="OM22" s="4">
        <f t="shared" si="91"/>
        <v>0</v>
      </c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>
        <f t="shared" si="92"/>
        <v>0</v>
      </c>
      <c r="PA22" s="13">
        <f t="shared" si="93"/>
        <v>0</v>
      </c>
    </row>
    <row r="23" spans="1:418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56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57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58"/>
        <v>0</v>
      </c>
      <c r="AQ23" s="4">
        <f t="shared" si="59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60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61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62"/>
        <v>0</v>
      </c>
      <c r="CE23" s="4">
        <f t="shared" si="63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64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65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66"/>
        <v>0</v>
      </c>
      <c r="DS23" s="4">
        <f t="shared" si="67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68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69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70"/>
        <v>0</v>
      </c>
      <c r="FG23" s="4">
        <f t="shared" si="71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52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53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72"/>
        <v>0</v>
      </c>
      <c r="GU23" s="4">
        <f t="shared" si="73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54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55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74"/>
        <v>0</v>
      </c>
      <c r="II23" s="4">
        <f t="shared" si="75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76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77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78"/>
        <v>0</v>
      </c>
      <c r="JW23" s="4">
        <f t="shared" si="79"/>
        <v>0</v>
      </c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>
        <f t="shared" si="80"/>
        <v>0</v>
      </c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>
        <f t="shared" si="81"/>
        <v>0</v>
      </c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>
        <f t="shared" si="82"/>
        <v>0</v>
      </c>
      <c r="LK23" s="4">
        <f t="shared" si="83"/>
        <v>0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>
        <f t="shared" si="84"/>
        <v>0</v>
      </c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>
        <f t="shared" si="85"/>
        <v>0</v>
      </c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>
        <f t="shared" si="86"/>
        <v>0</v>
      </c>
      <c r="MY23" s="4">
        <f t="shared" si="87"/>
        <v>0</v>
      </c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>
        <f t="shared" si="88"/>
        <v>0</v>
      </c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>
        <f t="shared" si="89"/>
        <v>0</v>
      </c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>
        <f t="shared" si="90"/>
        <v>0</v>
      </c>
      <c r="OM23" s="4">
        <f t="shared" si="91"/>
        <v>0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>
        <f t="shared" si="92"/>
        <v>0</v>
      </c>
      <c r="PA23" s="13">
        <f t="shared" si="93"/>
        <v>0</v>
      </c>
    </row>
    <row r="24" spans="1:418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56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57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58"/>
        <v>0</v>
      </c>
      <c r="AQ24" s="4">
        <f t="shared" si="59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60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61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62"/>
        <v>0</v>
      </c>
      <c r="CE24" s="4">
        <f t="shared" si="63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64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65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66"/>
        <v>0</v>
      </c>
      <c r="DS24" s="4">
        <f t="shared" si="67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68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69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70"/>
        <v>0</v>
      </c>
      <c r="FG24" s="4">
        <f t="shared" si="71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52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53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72"/>
        <v>0</v>
      </c>
      <c r="GU24" s="4">
        <f t="shared" si="73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54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55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74"/>
        <v>0</v>
      </c>
      <c r="II24" s="4">
        <f t="shared" si="75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76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77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78"/>
        <v>0</v>
      </c>
      <c r="JW24" s="4">
        <f t="shared" si="79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80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81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82"/>
        <v>0</v>
      </c>
      <c r="LK24" s="4">
        <f t="shared" si="83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84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85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86"/>
        <v>0</v>
      </c>
      <c r="MY24" s="4">
        <f t="shared" si="87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88"/>
        <v>0</v>
      </c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>
        <f t="shared" si="89"/>
        <v>0</v>
      </c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>
        <f t="shared" si="90"/>
        <v>0</v>
      </c>
      <c r="OM24" s="4">
        <f t="shared" si="91"/>
        <v>0</v>
      </c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>
        <f t="shared" si="92"/>
        <v>0</v>
      </c>
      <c r="PA24" s="13">
        <f t="shared" si="93"/>
        <v>0</v>
      </c>
    </row>
    <row r="25" spans="1:418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56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57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58"/>
        <v>0</v>
      </c>
      <c r="AQ25" s="4">
        <f t="shared" si="59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60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61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62"/>
        <v>0</v>
      </c>
      <c r="CE25" s="4">
        <f t="shared" si="63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64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65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66"/>
        <v>0</v>
      </c>
      <c r="DS25" s="4">
        <f t="shared" si="67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68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69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70"/>
        <v>0</v>
      </c>
      <c r="FG25" s="4">
        <f t="shared" si="71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52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53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72"/>
        <v>0</v>
      </c>
      <c r="GU25" s="4">
        <f t="shared" si="73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54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55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74"/>
        <v>0</v>
      </c>
      <c r="II25" s="4">
        <f t="shared" si="75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76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77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78"/>
        <v>0</v>
      </c>
      <c r="JW25" s="4">
        <f t="shared" si="79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80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81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82"/>
        <v>0</v>
      </c>
      <c r="LK25" s="4">
        <f t="shared" si="83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84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85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86"/>
        <v>0</v>
      </c>
      <c r="MY25" s="4">
        <f t="shared" si="87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88"/>
        <v>0</v>
      </c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>
        <f t="shared" si="89"/>
        <v>0</v>
      </c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>
        <f t="shared" si="90"/>
        <v>0</v>
      </c>
      <c r="OM25" s="4">
        <f t="shared" si="91"/>
        <v>0</v>
      </c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>
        <f t="shared" si="92"/>
        <v>0</v>
      </c>
      <c r="PA25" s="13">
        <f t="shared" si="93"/>
        <v>0</v>
      </c>
    </row>
    <row r="26" spans="1:418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56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57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58"/>
        <v>0</v>
      </c>
      <c r="AQ26" s="4">
        <f t="shared" si="59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60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61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62"/>
        <v>0</v>
      </c>
      <c r="CE26" s="4">
        <f t="shared" si="63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64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65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66"/>
        <v>0</v>
      </c>
      <c r="DS26" s="4">
        <f t="shared" si="67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68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69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70"/>
        <v>0</v>
      </c>
      <c r="FG26" s="4">
        <f t="shared" si="71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52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53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72"/>
        <v>0</v>
      </c>
      <c r="GU26" s="4">
        <f t="shared" si="73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54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55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74"/>
        <v>0</v>
      </c>
      <c r="II26" s="4">
        <f t="shared" si="75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76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77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78"/>
        <v>0</v>
      </c>
      <c r="JW26" s="4">
        <f t="shared" si="79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80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81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82"/>
        <v>0</v>
      </c>
      <c r="LK26" s="4">
        <f t="shared" si="83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84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85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86"/>
        <v>0</v>
      </c>
      <c r="MY26" s="4">
        <f t="shared" si="87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88"/>
        <v>0</v>
      </c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>
        <f t="shared" si="89"/>
        <v>0</v>
      </c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>
        <f t="shared" si="90"/>
        <v>0</v>
      </c>
      <c r="OM26" s="4">
        <f t="shared" si="91"/>
        <v>0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>
        <f t="shared" si="92"/>
        <v>0</v>
      </c>
      <c r="PA26" s="13">
        <f t="shared" si="93"/>
        <v>0</v>
      </c>
    </row>
    <row r="27" spans="1:418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56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57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58"/>
        <v>0</v>
      </c>
      <c r="AQ27" s="4">
        <f t="shared" si="59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60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61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62"/>
        <v>0</v>
      </c>
      <c r="CE27" s="4">
        <f t="shared" si="63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64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65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66"/>
        <v>0</v>
      </c>
      <c r="DS27" s="4">
        <f t="shared" si="67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68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69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70"/>
        <v>0</v>
      </c>
      <c r="FG27" s="4">
        <f t="shared" si="71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52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53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72"/>
        <v>0</v>
      </c>
      <c r="GU27" s="4">
        <f t="shared" si="73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54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55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74"/>
        <v>0</v>
      </c>
      <c r="II27" s="4">
        <f t="shared" si="75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76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77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78"/>
        <v>0</v>
      </c>
      <c r="JW27" s="4">
        <f t="shared" si="79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80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81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82"/>
        <v>0</v>
      </c>
      <c r="LK27" s="4">
        <f t="shared" si="83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84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85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86"/>
        <v>0</v>
      </c>
      <c r="MY27" s="4">
        <f t="shared" si="87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88"/>
        <v>0</v>
      </c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>
        <f t="shared" si="89"/>
        <v>0</v>
      </c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>
        <f t="shared" si="90"/>
        <v>0</v>
      </c>
      <c r="OM27" s="4">
        <f t="shared" si="91"/>
        <v>0</v>
      </c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>
        <f t="shared" si="92"/>
        <v>0</v>
      </c>
      <c r="PA27" s="13">
        <f t="shared" si="93"/>
        <v>0</v>
      </c>
    </row>
    <row r="28" spans="1:418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56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57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58"/>
        <v>0</v>
      </c>
      <c r="AQ28" s="4">
        <f t="shared" si="59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60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61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62"/>
        <v>0</v>
      </c>
      <c r="CE28" s="4">
        <f t="shared" si="63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64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65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66"/>
        <v>0</v>
      </c>
      <c r="DS28" s="4">
        <f t="shared" si="67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68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69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70"/>
        <v>0</v>
      </c>
      <c r="FG28" s="4">
        <f t="shared" si="71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52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53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72"/>
        <v>0</v>
      </c>
      <c r="GU28" s="4">
        <f t="shared" si="73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54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55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74"/>
        <v>0</v>
      </c>
      <c r="II28" s="4">
        <f t="shared" si="75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76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77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78"/>
        <v>0</v>
      </c>
      <c r="JW28" s="4">
        <f t="shared" si="79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80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81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82"/>
        <v>0</v>
      </c>
      <c r="LK28" s="4">
        <f t="shared" si="83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84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85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86"/>
        <v>0</v>
      </c>
      <c r="MY28" s="4">
        <f t="shared" si="87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88"/>
        <v>0</v>
      </c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>
        <f t="shared" si="89"/>
        <v>0</v>
      </c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>
        <f t="shared" si="90"/>
        <v>0</v>
      </c>
      <c r="OM28" s="4">
        <f t="shared" si="91"/>
        <v>0</v>
      </c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>
        <f t="shared" si="92"/>
        <v>0</v>
      </c>
      <c r="PA28" s="13">
        <f t="shared" si="93"/>
        <v>0</v>
      </c>
    </row>
    <row r="29" spans="1:418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56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57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58"/>
        <v>0</v>
      </c>
      <c r="AQ29" s="4">
        <f t="shared" si="59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60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61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62"/>
        <v>0</v>
      </c>
      <c r="CE29" s="4">
        <f t="shared" si="63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64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65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66"/>
        <v>0</v>
      </c>
      <c r="DS29" s="4">
        <f t="shared" si="67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68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69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70"/>
        <v>0</v>
      </c>
      <c r="FG29" s="4">
        <f t="shared" si="71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52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53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72"/>
        <v>0</v>
      </c>
      <c r="GU29" s="4">
        <f t="shared" si="73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54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55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74"/>
        <v>0</v>
      </c>
      <c r="II29" s="4">
        <f t="shared" si="75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76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77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78"/>
        <v>0</v>
      </c>
      <c r="JW29" s="4">
        <f t="shared" si="79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80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81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82"/>
        <v>0</v>
      </c>
      <c r="LK29" s="4">
        <f t="shared" si="83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84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85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86"/>
        <v>0</v>
      </c>
      <c r="MY29" s="4">
        <f t="shared" si="87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88"/>
        <v>0</v>
      </c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>
        <f t="shared" si="89"/>
        <v>0</v>
      </c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>
        <f t="shared" si="90"/>
        <v>0</v>
      </c>
      <c r="OM29" s="4">
        <f t="shared" si="91"/>
        <v>0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f t="shared" si="92"/>
        <v>0</v>
      </c>
      <c r="PA29" s="13">
        <f t="shared" si="93"/>
        <v>0</v>
      </c>
      <c r="PB29" s="84">
        <f>SUM(PA22:PA29)</f>
        <v>0</v>
      </c>
    </row>
    <row r="30" spans="1:418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56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57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58"/>
        <v>0</v>
      </c>
      <c r="AQ30" s="4">
        <f t="shared" si="59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60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61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62"/>
        <v>0</v>
      </c>
      <c r="CE30" s="4">
        <f t="shared" si="63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64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65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66"/>
        <v>0</v>
      </c>
      <c r="DS30" s="4">
        <f t="shared" si="67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68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69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70"/>
        <v>0</v>
      </c>
      <c r="FG30" s="4">
        <f t="shared" si="71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52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53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72"/>
        <v>0</v>
      </c>
      <c r="GU30" s="4">
        <f t="shared" si="73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54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55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74"/>
        <v>0</v>
      </c>
      <c r="II30" s="4">
        <f t="shared" si="75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76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77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78"/>
        <v>0</v>
      </c>
      <c r="JW30" s="4">
        <f t="shared" si="79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80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81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82"/>
        <v>0</v>
      </c>
      <c r="LK30" s="4">
        <f t="shared" si="83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84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85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86"/>
        <v>0</v>
      </c>
      <c r="MY30" s="4">
        <f t="shared" si="87"/>
        <v>0</v>
      </c>
      <c r="MZ30" s="4">
        <v>293280</v>
      </c>
      <c r="NA30" s="4">
        <v>293280</v>
      </c>
      <c r="NB30" s="4">
        <v>293280</v>
      </c>
      <c r="NC30" s="4">
        <v>293280</v>
      </c>
      <c r="ND30" s="4">
        <v>293280</v>
      </c>
      <c r="NE30" s="4">
        <v>293280</v>
      </c>
      <c r="NF30" s="4">
        <v>271840</v>
      </c>
      <c r="NG30" s="4">
        <f>68820+271840</f>
        <v>340660</v>
      </c>
      <c r="NH30" s="4">
        <v>271840</v>
      </c>
      <c r="NI30" s="4">
        <v>271840</v>
      </c>
      <c r="NJ30" s="4">
        <v>271840</v>
      </c>
      <c r="NK30" s="4">
        <v>271840</v>
      </c>
      <c r="NL30" s="4">
        <f>SUM(MZ30:NK30)</f>
        <v>3459540</v>
      </c>
      <c r="NM30" s="4">
        <v>6750</v>
      </c>
      <c r="NN30" s="4">
        <v>6750</v>
      </c>
      <c r="NO30" s="4">
        <v>6750</v>
      </c>
      <c r="NP30" s="4">
        <v>6750</v>
      </c>
      <c r="NQ30" s="4">
        <v>6750</v>
      </c>
      <c r="NR30" s="4">
        <v>6750</v>
      </c>
      <c r="NS30" s="4">
        <v>6000</v>
      </c>
      <c r="NT30" s="4">
        <v>6000</v>
      </c>
      <c r="NU30" s="4">
        <v>6000</v>
      </c>
      <c r="NV30" s="4">
        <v>6000</v>
      </c>
      <c r="NW30" s="4">
        <v>6000</v>
      </c>
      <c r="NX30" s="4">
        <v>6000</v>
      </c>
      <c r="NY30" s="4">
        <f t="shared" si="89"/>
        <v>76500</v>
      </c>
      <c r="NZ30" s="4">
        <v>7854</v>
      </c>
      <c r="OA30" s="4">
        <v>7854</v>
      </c>
      <c r="OB30" s="4">
        <v>7854</v>
      </c>
      <c r="OC30" s="4">
        <v>7854</v>
      </c>
      <c r="OD30" s="4">
        <v>7854</v>
      </c>
      <c r="OE30" s="4">
        <v>7854</v>
      </c>
      <c r="OF30" s="4">
        <f>945+8156</f>
        <v>9101</v>
      </c>
      <c r="OG30" s="4">
        <f>2070+8156</f>
        <v>10226</v>
      </c>
      <c r="OH30" s="4">
        <v>8156</v>
      </c>
      <c r="OI30" s="4">
        <v>8156</v>
      </c>
      <c r="OJ30" s="4">
        <v>8156</v>
      </c>
      <c r="OK30" s="4">
        <v>8156</v>
      </c>
      <c r="OL30" s="4">
        <f t="shared" si="90"/>
        <v>99075</v>
      </c>
      <c r="OM30" s="4">
        <f t="shared" si="91"/>
        <v>3635115</v>
      </c>
      <c r="ON30" s="4">
        <v>11200</v>
      </c>
      <c r="OO30" s="4">
        <v>11200</v>
      </c>
      <c r="OP30" s="4">
        <v>11200</v>
      </c>
      <c r="OQ30" s="4">
        <v>11200</v>
      </c>
      <c r="OR30" s="4">
        <v>11200</v>
      </c>
      <c r="OS30" s="35">
        <f>29493.33+16800+16800+11200</f>
        <v>74293.33</v>
      </c>
      <c r="OT30" s="4">
        <v>11200</v>
      </c>
      <c r="OU30" s="4">
        <v>11200</v>
      </c>
      <c r="OV30" s="4">
        <v>11200</v>
      </c>
      <c r="OW30" s="4">
        <v>11200</v>
      </c>
      <c r="OX30" s="4">
        <v>11200</v>
      </c>
      <c r="OY30" s="4">
        <v>11200</v>
      </c>
      <c r="OZ30" s="4">
        <f>SUM(ON30:OY30)</f>
        <v>197493.33000000002</v>
      </c>
      <c r="PA30" s="13">
        <f>+AQ30+CE30+DS30+FG30+GU30+II30+JW30+LK30+MY30+OM30+OZ30</f>
        <v>3832608.33</v>
      </c>
    </row>
    <row r="31" spans="1:418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56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57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58"/>
        <v>0</v>
      </c>
      <c r="AQ31" s="4">
        <f t="shared" si="59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60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61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62"/>
        <v>0</v>
      </c>
      <c r="CE31" s="4">
        <f t="shared" si="63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64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65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66"/>
        <v>0</v>
      </c>
      <c r="DS31" s="4">
        <f t="shared" si="67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68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69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70"/>
        <v>0</v>
      </c>
      <c r="FG31" s="4">
        <f t="shared" si="71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52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53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72"/>
        <v>0</v>
      </c>
      <c r="GU31" s="4">
        <f t="shared" si="73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54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55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74"/>
        <v>0</v>
      </c>
      <c r="II31" s="4">
        <f t="shared" si="75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76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77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78"/>
        <v>0</v>
      </c>
      <c r="JW31" s="4">
        <f t="shared" si="79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80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81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82"/>
        <v>0</v>
      </c>
      <c r="LK31" s="4">
        <f t="shared" si="83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84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85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86"/>
        <v>0</v>
      </c>
      <c r="MY31" s="4">
        <f t="shared" si="87"/>
        <v>0</v>
      </c>
      <c r="MZ31" s="4">
        <f>15241.91+26250+222310</f>
        <v>263801.91000000003</v>
      </c>
      <c r="NA31" s="4">
        <v>222310</v>
      </c>
      <c r="NB31" s="4">
        <v>222310</v>
      </c>
      <c r="NC31" s="4">
        <v>222310</v>
      </c>
      <c r="ND31" s="4">
        <v>222310</v>
      </c>
      <c r="NE31" s="4">
        <v>222310</v>
      </c>
      <c r="NF31" s="4">
        <v>230550</v>
      </c>
      <c r="NG31" s="4">
        <f>49440+230550</f>
        <v>279990</v>
      </c>
      <c r="NH31" s="4">
        <v>230550</v>
      </c>
      <c r="NI31" s="4">
        <v>230550</v>
      </c>
      <c r="NJ31" s="4">
        <v>230550</v>
      </c>
      <c r="NK31" s="4">
        <v>230550</v>
      </c>
      <c r="NL31" s="4">
        <f t="shared" si="88"/>
        <v>2808091.91</v>
      </c>
      <c r="NM31" s="4">
        <f>750+750+5250</f>
        <v>6750</v>
      </c>
      <c r="NN31" s="4">
        <v>5250</v>
      </c>
      <c r="NO31" s="4">
        <v>5250</v>
      </c>
      <c r="NP31" s="4">
        <v>5250</v>
      </c>
      <c r="NQ31" s="4">
        <v>5250</v>
      </c>
      <c r="NR31" s="4">
        <v>5250</v>
      </c>
      <c r="NS31" s="4">
        <v>5250</v>
      </c>
      <c r="NT31" s="4">
        <v>5250</v>
      </c>
      <c r="NU31" s="4">
        <v>5250</v>
      </c>
      <c r="NV31" s="4">
        <v>5250</v>
      </c>
      <c r="NW31" s="4">
        <v>5250</v>
      </c>
      <c r="NX31" s="4">
        <v>5250</v>
      </c>
      <c r="NY31" s="4">
        <f t="shared" si="89"/>
        <v>64500</v>
      </c>
      <c r="NZ31" s="4">
        <v>3944</v>
      </c>
      <c r="OA31" s="4">
        <v>3944</v>
      </c>
      <c r="OB31" s="4">
        <v>3944</v>
      </c>
      <c r="OC31" s="4">
        <v>3944</v>
      </c>
      <c r="OD31" s="4">
        <v>3944</v>
      </c>
      <c r="OE31" s="4">
        <v>3944</v>
      </c>
      <c r="OF31" s="4">
        <v>4142</v>
      </c>
      <c r="OG31" s="4">
        <f>1188+4142</f>
        <v>5330</v>
      </c>
      <c r="OH31" s="4">
        <v>4142</v>
      </c>
      <c r="OI31" s="4">
        <v>4142</v>
      </c>
      <c r="OJ31" s="4">
        <v>4142</v>
      </c>
      <c r="OK31" s="4">
        <v>4142</v>
      </c>
      <c r="OL31" s="4">
        <f t="shared" si="90"/>
        <v>49704</v>
      </c>
      <c r="OM31" s="4">
        <f t="shared" si="91"/>
        <v>2922295.91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>
        <f t="shared" si="92"/>
        <v>0</v>
      </c>
      <c r="PA31" s="13">
        <f t="shared" si="93"/>
        <v>2922295.91</v>
      </c>
    </row>
    <row r="32" spans="1:418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56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57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58"/>
        <v>0</v>
      </c>
      <c r="AQ32" s="4">
        <f t="shared" si="59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60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61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62"/>
        <v>0</v>
      </c>
      <c r="CE32" s="4">
        <f t="shared" si="63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64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65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66"/>
        <v>0</v>
      </c>
      <c r="DS32" s="4">
        <f t="shared" si="67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68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69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70"/>
        <v>0</v>
      </c>
      <c r="FG32" s="4">
        <f t="shared" si="71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52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53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72"/>
        <v>0</v>
      </c>
      <c r="GU32" s="4">
        <f t="shared" si="73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54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55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74"/>
        <v>0</v>
      </c>
      <c r="II32" s="4">
        <f t="shared" si="75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76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77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78"/>
        <v>0</v>
      </c>
      <c r="JW32" s="4">
        <f t="shared" si="79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80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81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82"/>
        <v>0</v>
      </c>
      <c r="LK32" s="4">
        <f t="shared" si="83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84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85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86"/>
        <v>0</v>
      </c>
      <c r="MY32" s="4">
        <f t="shared" si="87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88"/>
        <v>0</v>
      </c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>
        <f t="shared" si="89"/>
        <v>0</v>
      </c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>
        <f t="shared" si="90"/>
        <v>0</v>
      </c>
      <c r="OM32" s="4">
        <f t="shared" si="91"/>
        <v>0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f t="shared" si="92"/>
        <v>0</v>
      </c>
      <c r="PA32" s="13">
        <f t="shared" si="93"/>
        <v>0</v>
      </c>
    </row>
    <row r="33" spans="1:418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56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57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58"/>
        <v>0</v>
      </c>
      <c r="AQ33" s="4">
        <f t="shared" si="59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60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61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62"/>
        <v>0</v>
      </c>
      <c r="CE33" s="4">
        <f t="shared" si="63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64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65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66"/>
        <v>0</v>
      </c>
      <c r="DS33" s="4">
        <f t="shared" si="67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68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69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70"/>
        <v>0</v>
      </c>
      <c r="FG33" s="4">
        <f t="shared" si="71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52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53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72"/>
        <v>0</v>
      </c>
      <c r="GU33" s="4">
        <f t="shared" si="73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54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55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74"/>
        <v>0</v>
      </c>
      <c r="II33" s="4">
        <f t="shared" si="75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76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77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78"/>
        <v>0</v>
      </c>
      <c r="JW33" s="4">
        <f t="shared" si="79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80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81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82"/>
        <v>0</v>
      </c>
      <c r="LK33" s="4">
        <f t="shared" si="83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84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85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86"/>
        <v>0</v>
      </c>
      <c r="MY33" s="4">
        <f t="shared" si="87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88"/>
        <v>0</v>
      </c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>
        <f t="shared" si="89"/>
        <v>0</v>
      </c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>
        <f t="shared" si="90"/>
        <v>0</v>
      </c>
      <c r="OM33" s="4">
        <f t="shared" si="91"/>
        <v>0</v>
      </c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>
        <f t="shared" si="92"/>
        <v>0</v>
      </c>
      <c r="PA33" s="13">
        <f t="shared" si="93"/>
        <v>0</v>
      </c>
    </row>
    <row r="34" spans="1:418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56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57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58"/>
        <v>0</v>
      </c>
      <c r="AQ34" s="4">
        <f t="shared" si="59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60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61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62"/>
        <v>0</v>
      </c>
      <c r="CE34" s="4">
        <f t="shared" si="63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64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65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66"/>
        <v>0</v>
      </c>
      <c r="DS34" s="4">
        <f t="shared" si="67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68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69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70"/>
        <v>0</v>
      </c>
      <c r="FG34" s="4">
        <f t="shared" si="71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52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53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72"/>
        <v>0</v>
      </c>
      <c r="GU34" s="4">
        <f t="shared" si="73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54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55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74"/>
        <v>0</v>
      </c>
      <c r="II34" s="4">
        <f t="shared" si="75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76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77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78"/>
        <v>0</v>
      </c>
      <c r="JW34" s="4">
        <f t="shared" si="79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80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81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82"/>
        <v>0</v>
      </c>
      <c r="LK34" s="4">
        <f t="shared" si="83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84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85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86"/>
        <v>0</v>
      </c>
      <c r="MY34" s="4">
        <f t="shared" si="87"/>
        <v>0</v>
      </c>
      <c r="MZ34" s="4">
        <v>48950</v>
      </c>
      <c r="NA34" s="4">
        <v>48950</v>
      </c>
      <c r="NB34" s="4">
        <v>48950</v>
      </c>
      <c r="NC34" s="4">
        <v>48950</v>
      </c>
      <c r="ND34" s="4">
        <v>48950</v>
      </c>
      <c r="NE34" s="4">
        <v>48950</v>
      </c>
      <c r="NF34" s="4">
        <v>51410</v>
      </c>
      <c r="NG34" s="4">
        <f>14760+51410</f>
        <v>66170</v>
      </c>
      <c r="NH34" s="4">
        <v>51410</v>
      </c>
      <c r="NI34" s="4">
        <v>51410</v>
      </c>
      <c r="NJ34" s="4">
        <v>51410</v>
      </c>
      <c r="NK34" s="4">
        <v>51410</v>
      </c>
      <c r="NL34" s="4">
        <f t="shared" si="88"/>
        <v>616920</v>
      </c>
      <c r="NM34" s="4">
        <v>1500</v>
      </c>
      <c r="NN34" s="4">
        <v>1500</v>
      </c>
      <c r="NO34" s="4">
        <v>1500</v>
      </c>
      <c r="NP34" s="4">
        <v>1500</v>
      </c>
      <c r="NQ34" s="4">
        <v>1500</v>
      </c>
      <c r="NR34" s="4">
        <v>1500</v>
      </c>
      <c r="NS34" s="4">
        <v>1500</v>
      </c>
      <c r="NT34" s="4">
        <v>1500</v>
      </c>
      <c r="NU34" s="4">
        <v>1500</v>
      </c>
      <c r="NV34" s="4">
        <v>1500</v>
      </c>
      <c r="NW34" s="4">
        <v>1500</v>
      </c>
      <c r="NX34" s="4">
        <v>1500</v>
      </c>
      <c r="NY34" s="4">
        <f t="shared" si="89"/>
        <v>18000</v>
      </c>
      <c r="NZ34" s="4">
        <v>1468</v>
      </c>
      <c r="OA34" s="4">
        <v>1468</v>
      </c>
      <c r="OB34" s="4">
        <v>1468</v>
      </c>
      <c r="OC34" s="4">
        <v>1468</v>
      </c>
      <c r="OD34" s="4">
        <v>1468</v>
      </c>
      <c r="OE34" s="4">
        <v>1468</v>
      </c>
      <c r="OF34" s="4">
        <v>1542</v>
      </c>
      <c r="OG34" s="4">
        <f>444+1542</f>
        <v>1986</v>
      </c>
      <c r="OH34" s="4">
        <v>1542</v>
      </c>
      <c r="OI34" s="4">
        <v>1542</v>
      </c>
      <c r="OJ34" s="4">
        <v>1542</v>
      </c>
      <c r="OK34" s="4">
        <v>1542</v>
      </c>
      <c r="OL34" s="4">
        <f t="shared" si="90"/>
        <v>18504</v>
      </c>
      <c r="OM34" s="4">
        <f t="shared" si="91"/>
        <v>653424</v>
      </c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>
        <f t="shared" si="92"/>
        <v>0</v>
      </c>
      <c r="PA34" s="13">
        <f t="shared" si="93"/>
        <v>653424</v>
      </c>
    </row>
    <row r="35" spans="1:418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56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57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58"/>
        <v>0</v>
      </c>
      <c r="AQ35" s="4">
        <f t="shared" si="59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60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61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62"/>
        <v>0</v>
      </c>
      <c r="CE35" s="4">
        <f t="shared" si="63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64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65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66"/>
        <v>0</v>
      </c>
      <c r="DS35" s="4">
        <f t="shared" si="67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68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69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70"/>
        <v>0</v>
      </c>
      <c r="FG35" s="4">
        <f t="shared" si="71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52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53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72"/>
        <v>0</v>
      </c>
      <c r="GU35" s="4">
        <f t="shared" si="73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54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55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74"/>
        <v>0</v>
      </c>
      <c r="II35" s="4">
        <f t="shared" si="75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76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77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78"/>
        <v>0</v>
      </c>
      <c r="JW35" s="4">
        <f t="shared" si="79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80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81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82"/>
        <v>0</v>
      </c>
      <c r="LK35" s="4">
        <f t="shared" si="83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84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85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86"/>
        <v>0</v>
      </c>
      <c r="MY35" s="4">
        <f t="shared" si="87"/>
        <v>0</v>
      </c>
      <c r="MZ35" s="7">
        <v>48460</v>
      </c>
      <c r="NA35" s="7">
        <v>48460</v>
      </c>
      <c r="NB35" s="7">
        <v>48460</v>
      </c>
      <c r="NC35" s="7">
        <v>48460</v>
      </c>
      <c r="ND35" s="7">
        <v>48460</v>
      </c>
      <c r="NE35" s="7">
        <v>48460</v>
      </c>
      <c r="NF35" s="7">
        <v>50890</v>
      </c>
      <c r="NG35" s="4">
        <f>14580+50890</f>
        <v>65470</v>
      </c>
      <c r="NH35" s="7">
        <v>50890</v>
      </c>
      <c r="NI35" s="7">
        <v>50890</v>
      </c>
      <c r="NJ35" s="7">
        <v>50890</v>
      </c>
      <c r="NK35" s="7">
        <v>50890</v>
      </c>
      <c r="NL35" s="4">
        <f t="shared" si="88"/>
        <v>610680</v>
      </c>
      <c r="NM35" s="7">
        <v>1500</v>
      </c>
      <c r="NN35" s="7">
        <v>1500</v>
      </c>
      <c r="NO35" s="7">
        <v>1500</v>
      </c>
      <c r="NP35" s="7">
        <v>1500</v>
      </c>
      <c r="NQ35" s="7">
        <v>1500</v>
      </c>
      <c r="NR35" s="7">
        <v>1500</v>
      </c>
      <c r="NS35" s="7">
        <v>1500</v>
      </c>
      <c r="NT35" s="7">
        <v>1500</v>
      </c>
      <c r="NU35" s="7">
        <v>1500</v>
      </c>
      <c r="NV35" s="7">
        <v>1500</v>
      </c>
      <c r="NW35" s="7">
        <v>1500</v>
      </c>
      <c r="NX35" s="7">
        <v>1500</v>
      </c>
      <c r="NY35" s="4">
        <f t="shared" si="89"/>
        <v>18000</v>
      </c>
      <c r="NZ35" s="7">
        <v>1453</v>
      </c>
      <c r="OA35" s="7">
        <v>1453</v>
      </c>
      <c r="OB35" s="7">
        <v>1453</v>
      </c>
      <c r="OC35" s="7">
        <v>1453</v>
      </c>
      <c r="OD35" s="7">
        <v>1453</v>
      </c>
      <c r="OE35" s="7">
        <v>1453</v>
      </c>
      <c r="OF35" s="7">
        <v>1526</v>
      </c>
      <c r="OG35" s="4">
        <f>438+1526</f>
        <v>1964</v>
      </c>
      <c r="OH35" s="7">
        <v>1526</v>
      </c>
      <c r="OI35" s="7">
        <v>1526</v>
      </c>
      <c r="OJ35" s="7">
        <v>1526</v>
      </c>
      <c r="OK35" s="7">
        <v>1526</v>
      </c>
      <c r="OL35" s="4">
        <f t="shared" si="90"/>
        <v>18312</v>
      </c>
      <c r="OM35" s="4">
        <f t="shared" si="91"/>
        <v>646992</v>
      </c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4">
        <f t="shared" si="92"/>
        <v>0</v>
      </c>
      <c r="PA35" s="13">
        <f t="shared" si="93"/>
        <v>646992</v>
      </c>
    </row>
    <row r="36" spans="1:418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56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57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58"/>
        <v>0</v>
      </c>
      <c r="AQ36" s="4">
        <f t="shared" si="59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60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61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62"/>
        <v>0</v>
      </c>
      <c r="CE36" s="4">
        <f t="shared" si="63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64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65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66"/>
        <v>0</v>
      </c>
      <c r="DS36" s="4">
        <f t="shared" si="67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68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69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70"/>
        <v>0</v>
      </c>
      <c r="FG36" s="4">
        <f t="shared" si="71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52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53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72"/>
        <v>0</v>
      </c>
      <c r="GU36" s="4">
        <f t="shared" si="73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54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55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74"/>
        <v>0</v>
      </c>
      <c r="II36" s="4">
        <f t="shared" si="75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76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77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78"/>
        <v>0</v>
      </c>
      <c r="JW36" s="4">
        <f t="shared" si="79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80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81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82"/>
        <v>0</v>
      </c>
      <c r="LK36" s="4">
        <f t="shared" si="83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84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85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86"/>
        <v>0</v>
      </c>
      <c r="MY36" s="4">
        <f t="shared" si="87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88"/>
        <v>0</v>
      </c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4">
        <f t="shared" si="89"/>
        <v>0</v>
      </c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4">
        <f t="shared" si="90"/>
        <v>0</v>
      </c>
      <c r="OM36" s="4">
        <f t="shared" si="91"/>
        <v>0</v>
      </c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4">
        <f t="shared" si="92"/>
        <v>0</v>
      </c>
      <c r="PA36" s="13">
        <f t="shared" si="93"/>
        <v>0</v>
      </c>
    </row>
    <row r="37" spans="1:418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56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57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58"/>
        <v>0</v>
      </c>
      <c r="AQ37" s="4">
        <f t="shared" si="59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60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61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62"/>
        <v>0</v>
      </c>
      <c r="CE37" s="4">
        <f t="shared" si="63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64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65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66"/>
        <v>0</v>
      </c>
      <c r="DS37" s="4">
        <f t="shared" si="67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68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69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70"/>
        <v>0</v>
      </c>
      <c r="FG37" s="4">
        <f t="shared" si="71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52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53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72"/>
        <v>0</v>
      </c>
      <c r="GU37" s="4">
        <f t="shared" si="73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54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55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74"/>
        <v>0</v>
      </c>
      <c r="II37" s="4">
        <f t="shared" si="75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76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77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78"/>
        <v>0</v>
      </c>
      <c r="JW37" s="4">
        <f t="shared" si="79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80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81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82"/>
        <v>0</v>
      </c>
      <c r="LK37" s="4">
        <f t="shared" si="83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84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85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86"/>
        <v>0</v>
      </c>
      <c r="MY37" s="4">
        <f t="shared" si="87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88"/>
        <v>0</v>
      </c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4">
        <f t="shared" si="89"/>
        <v>0</v>
      </c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4">
        <f t="shared" si="90"/>
        <v>0</v>
      </c>
      <c r="OM37" s="4">
        <f t="shared" si="91"/>
        <v>0</v>
      </c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4">
        <f t="shared" si="92"/>
        <v>0</v>
      </c>
      <c r="PA37" s="13">
        <f t="shared" si="93"/>
        <v>0</v>
      </c>
      <c r="PB37" s="84">
        <f>SUM(PA30:PA37)</f>
        <v>8055320.2400000002</v>
      </c>
    </row>
    <row r="38" spans="1:418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56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57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58"/>
        <v>0</v>
      </c>
      <c r="AQ38" s="4">
        <f t="shared" si="59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60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61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62"/>
        <v>0</v>
      </c>
      <c r="CE38" s="4">
        <f t="shared" si="63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64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65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66"/>
        <v>0</v>
      </c>
      <c r="DS38" s="4">
        <f t="shared" si="67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68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69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70"/>
        <v>0</v>
      </c>
      <c r="FG38" s="4">
        <f t="shared" si="71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52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53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72"/>
        <v>0</v>
      </c>
      <c r="GU38" s="4">
        <f t="shared" si="73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54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55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74"/>
        <v>0</v>
      </c>
      <c r="II38" s="4">
        <f t="shared" si="75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76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77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78"/>
        <v>0</v>
      </c>
      <c r="JW38" s="4">
        <f t="shared" si="79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80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81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82"/>
        <v>0</v>
      </c>
      <c r="LK38" s="4">
        <f t="shared" si="83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84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85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86"/>
        <v>0</v>
      </c>
      <c r="MY38" s="4">
        <f t="shared" si="87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88"/>
        <v>0</v>
      </c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4">
        <f t="shared" si="89"/>
        <v>0</v>
      </c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4">
        <f t="shared" si="90"/>
        <v>0</v>
      </c>
      <c r="OM38" s="4">
        <f t="shared" si="91"/>
        <v>0</v>
      </c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4">
        <f t="shared" si="92"/>
        <v>0</v>
      </c>
      <c r="PA38" s="13">
        <f t="shared" si="93"/>
        <v>0</v>
      </c>
    </row>
    <row r="39" spans="1:418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56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57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58"/>
        <v>0</v>
      </c>
      <c r="AQ39" s="4">
        <f t="shared" si="59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60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61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62"/>
        <v>0</v>
      </c>
      <c r="CE39" s="4">
        <f t="shared" si="63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64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65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66"/>
        <v>0</v>
      </c>
      <c r="DS39" s="4">
        <f t="shared" si="67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68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69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70"/>
        <v>0</v>
      </c>
      <c r="FG39" s="4">
        <f t="shared" si="71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52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53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72"/>
        <v>0</v>
      </c>
      <c r="GU39" s="4">
        <f t="shared" si="73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54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55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74"/>
        <v>0</v>
      </c>
      <c r="II39" s="4">
        <f t="shared" si="75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76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77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78"/>
        <v>0</v>
      </c>
      <c r="JW39" s="4">
        <f t="shared" si="79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80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81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82"/>
        <v>0</v>
      </c>
      <c r="LK39" s="4">
        <f t="shared" si="83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84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85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86"/>
        <v>0</v>
      </c>
      <c r="MY39" s="4">
        <f t="shared" si="87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88"/>
        <v>0</v>
      </c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4">
        <f t="shared" si="89"/>
        <v>0</v>
      </c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4">
        <f t="shared" si="90"/>
        <v>0</v>
      </c>
      <c r="OM39" s="4">
        <f t="shared" si="91"/>
        <v>0</v>
      </c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4">
        <f t="shared" si="92"/>
        <v>0</v>
      </c>
      <c r="PA39" s="13">
        <f t="shared" si="93"/>
        <v>0</v>
      </c>
    </row>
    <row r="40" spans="1:418" s="10" customFormat="1" ht="21.75" thickBot="1" x14ac:dyDescent="0.4">
      <c r="A40" s="8"/>
      <c r="B40" s="8"/>
      <c r="C40" s="8"/>
      <c r="D40" s="9">
        <f>SUM(D6:D39)</f>
        <v>155040</v>
      </c>
      <c r="E40" s="9">
        <f t="shared" ref="E40:O40" si="94">SUM(E6:E39)</f>
        <v>155040</v>
      </c>
      <c r="F40" s="9">
        <f t="shared" si="94"/>
        <v>155040</v>
      </c>
      <c r="G40" s="9">
        <f t="shared" si="94"/>
        <v>125590.97</v>
      </c>
      <c r="H40" s="9">
        <f t="shared" si="94"/>
        <v>155040</v>
      </c>
      <c r="I40" s="9">
        <f t="shared" si="94"/>
        <v>155040</v>
      </c>
      <c r="J40" s="9">
        <f t="shared" si="94"/>
        <v>200260</v>
      </c>
      <c r="K40" s="9">
        <f t="shared" si="94"/>
        <v>161500</v>
      </c>
      <c r="L40" s="9">
        <f t="shared" si="94"/>
        <v>161500</v>
      </c>
      <c r="M40" s="9">
        <f t="shared" si="94"/>
        <v>161500</v>
      </c>
      <c r="N40" s="9">
        <f t="shared" si="94"/>
        <v>161500</v>
      </c>
      <c r="O40" s="9">
        <f t="shared" si="94"/>
        <v>161500</v>
      </c>
      <c r="P40" s="9">
        <f>SUM(D40:O40)</f>
        <v>1908550.97</v>
      </c>
      <c r="Q40" s="9">
        <f>SUM(Q6:Q39)</f>
        <v>3750</v>
      </c>
      <c r="R40" s="9">
        <f t="shared" ref="R40" si="95">SUM(R6:R39)</f>
        <v>3750</v>
      </c>
      <c r="S40" s="9">
        <f t="shared" ref="S40" si="96">SUM(S6:S39)</f>
        <v>3750</v>
      </c>
      <c r="T40" s="9">
        <f t="shared" ref="T40" si="97">SUM(T6:T39)</f>
        <v>3102</v>
      </c>
      <c r="U40" s="9">
        <f t="shared" ref="U40" si="98">SUM(U6:U39)</f>
        <v>3750</v>
      </c>
      <c r="V40" s="9">
        <f t="shared" ref="V40" si="99">SUM(V6:V39)</f>
        <v>3750</v>
      </c>
      <c r="W40" s="9">
        <f t="shared" ref="W40" si="100">SUM(W6:W39)</f>
        <v>3750</v>
      </c>
      <c r="X40" s="9">
        <f t="shared" ref="X40" si="101">SUM(X6:X39)</f>
        <v>3750</v>
      </c>
      <c r="Y40" s="9">
        <f t="shared" ref="Y40" si="102">SUM(Y6:Y39)</f>
        <v>3750</v>
      </c>
      <c r="Z40" s="9">
        <f t="shared" ref="Z40" si="103">SUM(Z6:Z39)</f>
        <v>3750</v>
      </c>
      <c r="AA40" s="9">
        <f t="shared" ref="AA40" si="104">SUM(AA6:AA39)</f>
        <v>3750</v>
      </c>
      <c r="AB40" s="9">
        <f t="shared" ref="AB40" si="105">SUM(AB6:AB39)</f>
        <v>3750</v>
      </c>
      <c r="AC40" s="9">
        <f>SUM(Q40:AB40)</f>
        <v>44352</v>
      </c>
      <c r="AD40" s="9">
        <f>SUM(AD6:AD39)</f>
        <v>2919</v>
      </c>
      <c r="AE40" s="9">
        <f t="shared" ref="AE40" si="106">SUM(AE6:AE39)</f>
        <v>2919</v>
      </c>
      <c r="AF40" s="9">
        <f t="shared" ref="AF40" si="107">SUM(AF6:AF39)</f>
        <v>2919</v>
      </c>
      <c r="AG40" s="9">
        <f t="shared" ref="AG40" si="108">SUM(AG6:AG39)</f>
        <v>2919</v>
      </c>
      <c r="AH40" s="9">
        <f t="shared" ref="AH40" si="109">SUM(AH6:AH39)</f>
        <v>2919</v>
      </c>
      <c r="AI40" s="9">
        <f t="shared" ref="AI40" si="110">SUM(AI6:AI39)</f>
        <v>2919</v>
      </c>
      <c r="AJ40" s="9">
        <f t="shared" ref="AJ40" si="111">SUM(AJ6:AJ39)</f>
        <v>3943</v>
      </c>
      <c r="AK40" s="9">
        <f t="shared" ref="AK40" si="112">SUM(AK6:AK39)</f>
        <v>3067</v>
      </c>
      <c r="AL40" s="9">
        <f t="shared" ref="AL40" si="113">SUM(AL6:AL39)</f>
        <v>3067</v>
      </c>
      <c r="AM40" s="9">
        <f t="shared" ref="AM40" si="114">SUM(AM6:AM39)</f>
        <v>3067</v>
      </c>
      <c r="AN40" s="9">
        <f t="shared" ref="AN40" si="115">SUM(AN6:AN39)</f>
        <v>3067</v>
      </c>
      <c r="AO40" s="9">
        <f t="shared" ref="AO40" si="116">SUM(AO6:AO39)</f>
        <v>3067</v>
      </c>
      <c r="AP40" s="9">
        <f>SUM(AD40:AO40)</f>
        <v>36792</v>
      </c>
      <c r="AQ40" s="9">
        <f t="shared" si="59"/>
        <v>1989694.97</v>
      </c>
      <c r="AR40" s="9">
        <f>SUM(AR6:AR39)</f>
        <v>145710</v>
      </c>
      <c r="AS40" s="9">
        <f t="shared" ref="AS40" si="117">SUM(AS6:AS39)</f>
        <v>145710</v>
      </c>
      <c r="AT40" s="9">
        <f t="shared" ref="AT40" si="118">SUM(AT6:AT39)</f>
        <v>145710</v>
      </c>
      <c r="AU40" s="9">
        <f t="shared" ref="AU40" si="119">SUM(AU6:AU39)</f>
        <v>145710</v>
      </c>
      <c r="AV40" s="9">
        <f t="shared" ref="AV40" si="120">SUM(AV6:AV39)</f>
        <v>145710</v>
      </c>
      <c r="AW40" s="9">
        <f t="shared" ref="AW40" si="121">SUM(AW6:AW39)</f>
        <v>145710</v>
      </c>
      <c r="AX40" s="9">
        <f t="shared" ref="AX40" si="122">SUM(AX6:AX39)</f>
        <v>187430</v>
      </c>
      <c r="AY40" s="9">
        <f t="shared" ref="AY40" si="123">SUM(AY6:AY39)</f>
        <v>151670</v>
      </c>
      <c r="AZ40" s="9">
        <f t="shared" ref="AZ40" si="124">SUM(AZ6:AZ39)</f>
        <v>151670</v>
      </c>
      <c r="BA40" s="9">
        <f t="shared" ref="BA40" si="125">SUM(BA6:BA39)</f>
        <v>151670</v>
      </c>
      <c r="BB40" s="9">
        <f t="shared" ref="BB40" si="126">SUM(BB6:BB39)</f>
        <v>151670</v>
      </c>
      <c r="BC40" s="9">
        <f t="shared" ref="BC40" si="127">SUM(BC6:BC39)</f>
        <v>151670</v>
      </c>
      <c r="BD40" s="9">
        <f>SUM(AR40:BC40)</f>
        <v>1820040</v>
      </c>
      <c r="BE40" s="9">
        <f>SUM(BE6:BE39)</f>
        <v>3750</v>
      </c>
      <c r="BF40" s="9">
        <f t="shared" ref="BF40" si="128">SUM(BF6:BF39)</f>
        <v>3750</v>
      </c>
      <c r="BG40" s="9">
        <f t="shared" ref="BG40" si="129">SUM(BG6:BG39)</f>
        <v>3750</v>
      </c>
      <c r="BH40" s="9">
        <f t="shared" ref="BH40" si="130">SUM(BH6:BH39)</f>
        <v>3750</v>
      </c>
      <c r="BI40" s="9">
        <f t="shared" ref="BI40" si="131">SUM(BI6:BI39)</f>
        <v>3750</v>
      </c>
      <c r="BJ40" s="9">
        <f t="shared" ref="BJ40" si="132">SUM(BJ6:BJ39)</f>
        <v>3750</v>
      </c>
      <c r="BK40" s="9">
        <f t="shared" ref="BK40" si="133">SUM(BK6:BK39)</f>
        <v>3750</v>
      </c>
      <c r="BL40" s="9">
        <f t="shared" ref="BL40" si="134">SUM(BL6:BL39)</f>
        <v>3750</v>
      </c>
      <c r="BM40" s="9">
        <f t="shared" ref="BM40" si="135">SUM(BM6:BM39)</f>
        <v>3750</v>
      </c>
      <c r="BN40" s="9">
        <f t="shared" ref="BN40" si="136">SUM(BN6:BN39)</f>
        <v>3750</v>
      </c>
      <c r="BO40" s="9">
        <f t="shared" ref="BO40" si="137">SUM(BO6:BO39)</f>
        <v>3750</v>
      </c>
      <c r="BP40" s="9">
        <f t="shared" ref="BP40" si="138">SUM(BP6:BP39)</f>
        <v>3750</v>
      </c>
      <c r="BQ40" s="9">
        <f t="shared" si="61"/>
        <v>45000</v>
      </c>
      <c r="BR40" s="9">
        <f>SUM(BR6:BR39)</f>
        <v>2740</v>
      </c>
      <c r="BS40" s="9">
        <f t="shared" ref="BS40" si="139">SUM(BS6:BS39)</f>
        <v>2740</v>
      </c>
      <c r="BT40" s="9">
        <f t="shared" ref="BT40" si="140">SUM(BT6:BT39)</f>
        <v>2740</v>
      </c>
      <c r="BU40" s="9">
        <f t="shared" ref="BU40" si="141">SUM(BU6:BU39)</f>
        <v>2740</v>
      </c>
      <c r="BV40" s="9">
        <f t="shared" ref="BV40" si="142">SUM(BV6:BV39)</f>
        <v>2740</v>
      </c>
      <c r="BW40" s="9">
        <f t="shared" ref="BW40" si="143">SUM(BW6:BW39)</f>
        <v>2740</v>
      </c>
      <c r="BX40" s="9">
        <f t="shared" ref="BX40" si="144">SUM(BX6:BX39)</f>
        <v>3692</v>
      </c>
      <c r="BY40" s="9">
        <f t="shared" ref="BY40" si="145">SUM(BY6:BY39)</f>
        <v>2876</v>
      </c>
      <c r="BZ40" s="9">
        <f t="shared" ref="BZ40" si="146">SUM(BZ6:BZ39)</f>
        <v>2876</v>
      </c>
      <c r="CA40" s="9">
        <f t="shared" ref="CA40" si="147">SUM(CA6:CA39)</f>
        <v>2876</v>
      </c>
      <c r="CB40" s="9">
        <f t="shared" ref="CB40" si="148">SUM(CB6:CB39)</f>
        <v>2876</v>
      </c>
      <c r="CC40" s="9">
        <f t="shared" ref="CC40" si="149">SUM(CC6:CC39)</f>
        <v>2876</v>
      </c>
      <c r="CD40" s="9">
        <f t="shared" si="62"/>
        <v>34512</v>
      </c>
      <c r="CE40" s="9">
        <f t="shared" si="63"/>
        <v>1899552</v>
      </c>
      <c r="CF40" s="9">
        <f>SUM(CF6:CF39)</f>
        <v>65640</v>
      </c>
      <c r="CG40" s="9">
        <f t="shared" ref="CG40" si="150">SUM(CG6:CG39)</f>
        <v>65640</v>
      </c>
      <c r="CH40" s="9">
        <f t="shared" ref="CH40" si="151">SUM(CH6:CH39)</f>
        <v>65640</v>
      </c>
      <c r="CI40" s="9">
        <f t="shared" ref="CI40" si="152">SUM(CI6:CI39)</f>
        <v>65640</v>
      </c>
      <c r="CJ40" s="9">
        <f t="shared" ref="CJ40" si="153">SUM(CJ6:CJ39)</f>
        <v>65640</v>
      </c>
      <c r="CK40" s="9">
        <f t="shared" ref="CK40" si="154">SUM(CK6:CK39)</f>
        <v>65640</v>
      </c>
      <c r="CL40" s="9">
        <f t="shared" ref="CL40" si="155">SUM(CL6:CL39)</f>
        <v>86080</v>
      </c>
      <c r="CM40" s="9">
        <f t="shared" ref="CM40" si="156">SUM(CM6:CM39)</f>
        <v>68560</v>
      </c>
      <c r="CN40" s="9">
        <f t="shared" ref="CN40" si="157">SUM(CN6:CN39)</f>
        <v>68560</v>
      </c>
      <c r="CO40" s="9">
        <f t="shared" ref="CO40" si="158">SUM(CO6:CO39)</f>
        <v>68560</v>
      </c>
      <c r="CP40" s="9">
        <f t="shared" ref="CP40" si="159">SUM(CP6:CP39)</f>
        <v>68560</v>
      </c>
      <c r="CQ40" s="9">
        <f t="shared" ref="CQ40" si="160">SUM(CQ6:CQ39)</f>
        <v>68560</v>
      </c>
      <c r="CR40" s="9">
        <f t="shared" si="64"/>
        <v>822720</v>
      </c>
      <c r="CS40" s="9">
        <f>SUM(CS6:CS39)</f>
        <v>1500</v>
      </c>
      <c r="CT40" s="9">
        <f t="shared" ref="CT40" si="161">SUM(CT6:CT39)</f>
        <v>1500</v>
      </c>
      <c r="CU40" s="9">
        <f t="shared" ref="CU40" si="162">SUM(CU6:CU39)</f>
        <v>1500</v>
      </c>
      <c r="CV40" s="9">
        <f t="shared" ref="CV40" si="163">SUM(CV6:CV39)</f>
        <v>1500</v>
      </c>
      <c r="CW40" s="9">
        <f t="shared" ref="CW40" si="164">SUM(CW6:CW39)</f>
        <v>1500</v>
      </c>
      <c r="CX40" s="9">
        <f t="shared" ref="CX40" si="165">SUM(CX6:CX39)</f>
        <v>1561.34</v>
      </c>
      <c r="CY40" s="9">
        <f t="shared" ref="CY40" si="166">SUM(CY6:CY39)</f>
        <v>1500</v>
      </c>
      <c r="CZ40" s="9">
        <f t="shared" ref="CZ40" si="167">SUM(CZ6:CZ39)</f>
        <v>1500</v>
      </c>
      <c r="DA40" s="9">
        <f t="shared" ref="DA40" si="168">SUM(DA6:DA39)</f>
        <v>1500</v>
      </c>
      <c r="DB40" s="9">
        <f t="shared" ref="DB40" si="169">SUM(DB6:DB39)</f>
        <v>1500</v>
      </c>
      <c r="DC40" s="9">
        <f t="shared" ref="DC40" si="170">SUM(DC6:DC39)</f>
        <v>1500</v>
      </c>
      <c r="DD40" s="9">
        <f t="shared" ref="DD40" si="171">SUM(DD6:DD39)</f>
        <v>1500</v>
      </c>
      <c r="DE40" s="9">
        <f t="shared" si="65"/>
        <v>18061.34</v>
      </c>
      <c r="DF40" s="9">
        <f>SUM(DF6:DF39)</f>
        <v>980</v>
      </c>
      <c r="DG40" s="9">
        <f t="shared" ref="DG40" si="172">SUM(DG6:DG39)</f>
        <v>980</v>
      </c>
      <c r="DH40" s="9">
        <f t="shared" ref="DH40" si="173">SUM(DH6:DH39)</f>
        <v>980</v>
      </c>
      <c r="DI40" s="9">
        <f t="shared" ref="DI40" si="174">SUM(DI6:DI39)</f>
        <v>980</v>
      </c>
      <c r="DJ40" s="9">
        <f t="shared" ref="DJ40" si="175">SUM(DJ6:DJ39)</f>
        <v>1969</v>
      </c>
      <c r="DK40" s="9">
        <f t="shared" ref="DK40" si="176">SUM(DK6:DK39)</f>
        <v>1969</v>
      </c>
      <c r="DL40" s="9">
        <f t="shared" ref="DL40" si="177">SUM(DL6:DL39)</f>
        <v>2424</v>
      </c>
      <c r="DM40" s="9">
        <f t="shared" ref="DM40" si="178">SUM(DM6:DM39)</f>
        <v>2056</v>
      </c>
      <c r="DN40" s="9">
        <f t="shared" ref="DN40" si="179">SUM(DN6:DN39)</f>
        <v>2056</v>
      </c>
      <c r="DO40" s="9">
        <f t="shared" ref="DO40" si="180">SUM(DO6:DO39)</f>
        <v>2056</v>
      </c>
      <c r="DP40" s="9">
        <f t="shared" ref="DP40" si="181">SUM(DP6:DP39)</f>
        <v>2056</v>
      </c>
      <c r="DQ40" s="9">
        <f t="shared" ref="DQ40" si="182">SUM(DQ6:DQ39)</f>
        <v>2056</v>
      </c>
      <c r="DR40" s="9">
        <f t="shared" si="66"/>
        <v>20562</v>
      </c>
      <c r="DS40" s="9">
        <f t="shared" si="67"/>
        <v>861343.34</v>
      </c>
      <c r="DT40" s="9">
        <f>SUM(DT6:DT39)</f>
        <v>132050</v>
      </c>
      <c r="DU40" s="9">
        <f t="shared" ref="DU40" si="183">SUM(DU6:DU39)</f>
        <v>132050</v>
      </c>
      <c r="DV40" s="9">
        <f t="shared" ref="DV40" si="184">SUM(DV6:DV39)</f>
        <v>132050</v>
      </c>
      <c r="DW40" s="9">
        <f t="shared" ref="DW40" si="185">SUM(DW6:DW39)</f>
        <v>132050</v>
      </c>
      <c r="DX40" s="9">
        <f t="shared" ref="DX40" si="186">SUM(DX6:DX39)</f>
        <v>132050</v>
      </c>
      <c r="DY40" s="9">
        <f t="shared" ref="DY40" si="187">SUM(DY6:DY39)</f>
        <v>132050</v>
      </c>
      <c r="DZ40" s="9">
        <f t="shared" ref="DZ40" si="188">SUM(DZ6:DZ39)</f>
        <v>166770</v>
      </c>
      <c r="EA40" s="9">
        <f t="shared" ref="EA40" si="189">SUM(EA6:EA39)</f>
        <v>137010</v>
      </c>
      <c r="EB40" s="9">
        <f t="shared" ref="EB40" si="190">SUM(EB6:EB39)</f>
        <v>137010</v>
      </c>
      <c r="EC40" s="9">
        <f t="shared" ref="EC40" si="191">SUM(EC6:EC39)</f>
        <v>137010</v>
      </c>
      <c r="ED40" s="9">
        <f t="shared" ref="ED40" si="192">SUM(ED6:ED39)</f>
        <v>137010</v>
      </c>
      <c r="EE40" s="9">
        <f t="shared" ref="EE40" si="193">SUM(EE6:EE39)</f>
        <v>137010</v>
      </c>
      <c r="EF40" s="9">
        <f t="shared" si="68"/>
        <v>1644120</v>
      </c>
      <c r="EG40" s="9">
        <f>SUM(EG6:EG39)</f>
        <v>3000</v>
      </c>
      <c r="EH40" s="9">
        <f t="shared" ref="EH40" si="194">SUM(EH6:EH39)</f>
        <v>3000</v>
      </c>
      <c r="EI40" s="9">
        <f t="shared" ref="EI40" si="195">SUM(EI6:EI39)</f>
        <v>3000</v>
      </c>
      <c r="EJ40" s="9">
        <f t="shared" ref="EJ40" si="196">SUM(EJ6:EJ39)</f>
        <v>3000</v>
      </c>
      <c r="EK40" s="9">
        <f t="shared" ref="EK40" si="197">SUM(EK6:EK39)</f>
        <v>3000</v>
      </c>
      <c r="EL40" s="9">
        <f t="shared" ref="EL40" si="198">SUM(EL6:EL39)</f>
        <v>3030.67</v>
      </c>
      <c r="EM40" s="9">
        <f t="shared" ref="EM40" si="199">SUM(EM6:EM39)</f>
        <v>3000</v>
      </c>
      <c r="EN40" s="9">
        <f t="shared" ref="EN40" si="200">SUM(EN6:EN39)</f>
        <v>3000</v>
      </c>
      <c r="EO40" s="9">
        <f t="shared" ref="EO40" si="201">SUM(EO6:EO39)</f>
        <v>3000</v>
      </c>
      <c r="EP40" s="9">
        <f t="shared" ref="EP40" si="202">SUM(EP6:EP39)</f>
        <v>3000</v>
      </c>
      <c r="EQ40" s="9">
        <f t="shared" ref="EQ40" si="203">SUM(EQ6:EQ39)</f>
        <v>3000</v>
      </c>
      <c r="ER40" s="9">
        <f t="shared" ref="ER40" si="204">SUM(ER6:ER39)</f>
        <v>3000</v>
      </c>
      <c r="ES40" s="9">
        <f t="shared" si="69"/>
        <v>36030.67</v>
      </c>
      <c r="ET40" s="9">
        <f>SUM(ET6:ET39)</f>
        <v>0</v>
      </c>
      <c r="EU40" s="9">
        <f t="shared" ref="EU40" si="205">SUM(EU6:EU39)</f>
        <v>0</v>
      </c>
      <c r="EV40" s="9">
        <f t="shared" ref="EV40" si="206">SUM(EV6:EV39)</f>
        <v>0</v>
      </c>
      <c r="EW40" s="9">
        <f t="shared" ref="EW40" si="207">SUM(EW6:EW39)</f>
        <v>0</v>
      </c>
      <c r="EX40" s="9">
        <f t="shared" ref="EX40" si="208">SUM(EX6:EX39)</f>
        <v>0</v>
      </c>
      <c r="EY40" s="9">
        <f t="shared" ref="EY40" si="209">SUM(EY6:EY39)</f>
        <v>0</v>
      </c>
      <c r="EZ40" s="9">
        <f t="shared" ref="EZ40" si="210">SUM(EZ6:EZ39)</f>
        <v>0</v>
      </c>
      <c r="FA40" s="9">
        <f t="shared" ref="FA40" si="211">SUM(FA6:FA39)</f>
        <v>0</v>
      </c>
      <c r="FB40" s="9">
        <f t="shared" ref="FB40" si="212">SUM(FB6:FB39)</f>
        <v>0</v>
      </c>
      <c r="FC40" s="9">
        <f t="shared" ref="FC40" si="213">SUM(FC6:FC39)</f>
        <v>0</v>
      </c>
      <c r="FD40" s="9">
        <f t="shared" ref="FD40" si="214">SUM(FD6:FD39)</f>
        <v>0</v>
      </c>
      <c r="FE40" s="9">
        <f t="shared" ref="FE40" si="215">SUM(FE6:FE39)</f>
        <v>0</v>
      </c>
      <c r="FF40" s="9">
        <f t="shared" si="70"/>
        <v>0</v>
      </c>
      <c r="FG40" s="9">
        <f t="shared" si="71"/>
        <v>1680150.67</v>
      </c>
      <c r="FH40" s="9">
        <f>SUM(FH6:FH39)</f>
        <v>186220</v>
      </c>
      <c r="FI40" s="9">
        <f t="shared" ref="FI40" si="216">SUM(FI6:FI39)</f>
        <v>186220</v>
      </c>
      <c r="FJ40" s="9">
        <f t="shared" ref="FJ40" si="217">SUM(FJ6:FJ39)</f>
        <v>230320</v>
      </c>
      <c r="FK40" s="9">
        <f t="shared" ref="FK40" si="218">SUM(FK6:FK39)</f>
        <v>217720</v>
      </c>
      <c r="FL40" s="9">
        <f t="shared" ref="FL40" si="219">SUM(FL6:FL39)</f>
        <v>217720</v>
      </c>
      <c r="FM40" s="9">
        <f t="shared" ref="FM40" si="220">SUM(FM6:FM39)</f>
        <v>217720</v>
      </c>
      <c r="FN40" s="9">
        <f t="shared" ref="FN40" si="221">SUM(FN6:FN39)</f>
        <v>267140</v>
      </c>
      <c r="FO40" s="9">
        <f t="shared" ref="FO40" si="222">SUM(FO6:FO39)</f>
        <v>224780</v>
      </c>
      <c r="FP40" s="9">
        <f t="shared" ref="FP40" si="223">SUM(FP6:FP39)</f>
        <v>224780</v>
      </c>
      <c r="FQ40" s="9">
        <f t="shared" ref="FQ40" si="224">SUM(FQ6:FQ39)</f>
        <v>224780</v>
      </c>
      <c r="FR40" s="9">
        <f t="shared" ref="FR40" si="225">SUM(FR6:FR39)</f>
        <v>224780</v>
      </c>
      <c r="FS40" s="9">
        <f t="shared" ref="FS40" si="226">SUM(FS6:FS39)</f>
        <v>224780</v>
      </c>
      <c r="FT40" s="9">
        <f t="shared" si="52"/>
        <v>2646960</v>
      </c>
      <c r="FU40" s="9">
        <f>SUM(FU6:FU39)</f>
        <v>4500</v>
      </c>
      <c r="FV40" s="9">
        <f t="shared" ref="FV40" si="227">SUM(FV6:FV39)</f>
        <v>4500</v>
      </c>
      <c r="FW40" s="9">
        <f t="shared" ref="FW40" si="228">SUM(FW6:FW39)</f>
        <v>5880</v>
      </c>
      <c r="FX40" s="9">
        <f t="shared" ref="FX40" si="229">SUM(FX6:FX39)</f>
        <v>5250</v>
      </c>
      <c r="FY40" s="9">
        <f t="shared" ref="FY40" si="230">SUM(FY6:FY39)</f>
        <v>5250</v>
      </c>
      <c r="FZ40" s="9">
        <f t="shared" ref="FZ40" si="231">SUM(FZ6:FZ39)</f>
        <v>5372.68</v>
      </c>
      <c r="GA40" s="9">
        <f t="shared" ref="GA40" si="232">SUM(GA6:GA39)</f>
        <v>5250</v>
      </c>
      <c r="GB40" s="9">
        <f t="shared" ref="GB40" si="233">SUM(GB6:GB39)</f>
        <v>5250</v>
      </c>
      <c r="GC40" s="9">
        <f t="shared" ref="GC40" si="234">SUM(GC6:GC39)</f>
        <v>5250</v>
      </c>
      <c r="GD40" s="9">
        <f t="shared" ref="GD40" si="235">SUM(GD6:GD39)</f>
        <v>5250</v>
      </c>
      <c r="GE40" s="9">
        <f t="shared" ref="GE40" si="236">SUM(GE6:GE39)</f>
        <v>5250</v>
      </c>
      <c r="GF40" s="9">
        <f t="shared" ref="GF40" si="237">SUM(GF6:GF39)</f>
        <v>5250</v>
      </c>
      <c r="GG40" s="9">
        <f t="shared" si="53"/>
        <v>62252.68</v>
      </c>
      <c r="GH40" s="9">
        <f>SUM(GH6:GH39)</f>
        <v>2878</v>
      </c>
      <c r="GI40" s="9">
        <f t="shared" ref="GI40" si="238">SUM(GI6:GI39)</f>
        <v>2878</v>
      </c>
      <c r="GJ40" s="9">
        <f t="shared" ref="GJ40" si="239">SUM(GJ6:GJ39)</f>
        <v>2878</v>
      </c>
      <c r="GK40" s="9">
        <f t="shared" ref="GK40" si="240">SUM(GK6:GK39)</f>
        <v>2878</v>
      </c>
      <c r="GL40" s="9">
        <f t="shared" ref="GL40" si="241">SUM(GL6:GL39)</f>
        <v>2878</v>
      </c>
      <c r="GM40" s="9">
        <f t="shared" ref="GM40" si="242">SUM(GM6:GM39)</f>
        <v>2878</v>
      </c>
      <c r="GN40" s="9">
        <f t="shared" ref="GN40" si="243">SUM(GN6:GN39)</f>
        <v>3887</v>
      </c>
      <c r="GO40" s="9">
        <f t="shared" ref="GO40" si="244">SUM(GO6:GO39)</f>
        <v>3023</v>
      </c>
      <c r="GP40" s="9">
        <f t="shared" ref="GP40" si="245">SUM(GP6:GP39)</f>
        <v>3023</v>
      </c>
      <c r="GQ40" s="9">
        <f t="shared" ref="GQ40" si="246">SUM(GQ6:GQ39)</f>
        <v>3023</v>
      </c>
      <c r="GR40" s="9">
        <f t="shared" ref="GR40" si="247">SUM(GR6:GR39)</f>
        <v>3023</v>
      </c>
      <c r="GS40" s="9">
        <f t="shared" ref="GS40" si="248">SUM(GS6:GS39)</f>
        <v>3023</v>
      </c>
      <c r="GT40" s="9">
        <f t="shared" si="72"/>
        <v>36270</v>
      </c>
      <c r="GU40" s="9">
        <f t="shared" si="73"/>
        <v>2745482.68</v>
      </c>
      <c r="GV40" s="9">
        <f>SUM(GV6:GV39)</f>
        <v>198270</v>
      </c>
      <c r="GW40" s="9">
        <f t="shared" ref="GW40" si="249">SUM(GW6:GW39)</f>
        <v>198270</v>
      </c>
      <c r="GX40" s="9">
        <f t="shared" ref="GX40" si="250">SUM(GX6:GX39)</f>
        <v>244645</v>
      </c>
      <c r="GY40" s="9">
        <f t="shared" ref="GY40" si="251">SUM(GY6:GY39)</f>
        <v>224520</v>
      </c>
      <c r="GZ40" s="9">
        <f t="shared" ref="GZ40" si="252">SUM(GZ6:GZ39)</f>
        <v>224520</v>
      </c>
      <c r="HA40" s="9">
        <f t="shared" ref="HA40" si="253">SUM(HA6:HA39)</f>
        <v>224520</v>
      </c>
      <c r="HB40" s="9">
        <f t="shared" ref="HB40" si="254">SUM(HB6:HB39)</f>
        <v>282410</v>
      </c>
      <c r="HC40" s="9">
        <f t="shared" ref="HC40" si="255">SUM(HC6:HC39)</f>
        <v>232790</v>
      </c>
      <c r="HD40" s="9">
        <f t="shared" ref="HD40" si="256">SUM(HD6:HD39)</f>
        <v>232790</v>
      </c>
      <c r="HE40" s="9">
        <f t="shared" ref="HE40" si="257">SUM(HE6:HE39)</f>
        <v>232790</v>
      </c>
      <c r="HF40" s="9">
        <f t="shared" ref="HF40" si="258">SUM(HF6:HF39)</f>
        <v>232790</v>
      </c>
      <c r="HG40" s="9">
        <f t="shared" ref="HG40" si="259">SUM(HG6:HG39)</f>
        <v>232790</v>
      </c>
      <c r="HH40" s="9">
        <f t="shared" si="54"/>
        <v>2761105</v>
      </c>
      <c r="HI40" s="9">
        <f>SUM(HI6:HI39)</f>
        <v>4500</v>
      </c>
      <c r="HJ40" s="9">
        <f t="shared" ref="HJ40" si="260">SUM(HJ6:HJ39)</f>
        <v>4500</v>
      </c>
      <c r="HK40" s="9">
        <f t="shared" ref="HK40" si="261">SUM(HK6:HK39)</f>
        <v>6000</v>
      </c>
      <c r="HL40" s="9">
        <f t="shared" ref="HL40" si="262">SUM(HL6:HL39)</f>
        <v>5250</v>
      </c>
      <c r="HM40" s="9">
        <f t="shared" ref="HM40" si="263">SUM(HM6:HM39)</f>
        <v>5250</v>
      </c>
      <c r="HN40" s="9">
        <f t="shared" ref="HN40" si="264">SUM(HN6:HN39)</f>
        <v>5250</v>
      </c>
      <c r="HO40" s="9">
        <f t="shared" ref="HO40" si="265">SUM(HO6:HO39)</f>
        <v>5250</v>
      </c>
      <c r="HP40" s="9">
        <f t="shared" ref="HP40" si="266">SUM(HP6:HP39)</f>
        <v>5250</v>
      </c>
      <c r="HQ40" s="9">
        <f t="shared" ref="HQ40" si="267">SUM(HQ6:HQ39)</f>
        <v>5250</v>
      </c>
      <c r="HR40" s="9">
        <f t="shared" ref="HR40" si="268">SUM(HR6:HR39)</f>
        <v>5250</v>
      </c>
      <c r="HS40" s="9">
        <f t="shared" ref="HS40" si="269">SUM(HS6:HS39)</f>
        <v>5250</v>
      </c>
      <c r="HT40" s="9">
        <f t="shared" ref="HT40" si="270">SUM(HT6:HT39)</f>
        <v>5250</v>
      </c>
      <c r="HU40" s="9">
        <f t="shared" si="55"/>
        <v>62250</v>
      </c>
      <c r="HV40" s="9">
        <f>SUM(HV6:HV39)</f>
        <v>4831</v>
      </c>
      <c r="HW40" s="9">
        <f t="shared" ref="HW40" si="271">SUM(HW6:HW39)</f>
        <v>4831</v>
      </c>
      <c r="HX40" s="9">
        <f t="shared" ref="HX40" si="272">SUM(HX6:HX39)</f>
        <v>4831</v>
      </c>
      <c r="HY40" s="9">
        <f t="shared" ref="HY40" si="273">SUM(HY6:HY39)</f>
        <v>4831</v>
      </c>
      <c r="HZ40" s="9">
        <f t="shared" ref="HZ40" si="274">SUM(HZ6:HZ39)</f>
        <v>5947</v>
      </c>
      <c r="IA40" s="9">
        <f t="shared" ref="IA40" si="275">SUM(IA6:IA39)</f>
        <v>5947</v>
      </c>
      <c r="IB40" s="9">
        <f t="shared" ref="IB40" si="276">SUM(IB6:IB39)</f>
        <v>7473</v>
      </c>
      <c r="IC40" s="9">
        <f t="shared" ref="IC40" si="277">SUM(IC6:IC39)</f>
        <v>6197</v>
      </c>
      <c r="ID40" s="9">
        <f t="shared" ref="ID40" si="278">SUM(ID6:ID39)</f>
        <v>6197</v>
      </c>
      <c r="IE40" s="9">
        <f t="shared" ref="IE40" si="279">SUM(IE6:IE39)</f>
        <v>6985</v>
      </c>
      <c r="IF40" s="9">
        <f t="shared" ref="IF40" si="280">SUM(IF6:IF39)</f>
        <v>6985</v>
      </c>
      <c r="IG40" s="9">
        <f t="shared" ref="IG40" si="281">SUM(IG6:IG39)</f>
        <v>6985</v>
      </c>
      <c r="IH40" s="9">
        <f t="shared" si="74"/>
        <v>72040</v>
      </c>
      <c r="II40" s="9">
        <f t="shared" si="75"/>
        <v>2895395</v>
      </c>
      <c r="IJ40" s="9">
        <f>SUM(IJ6:IJ39)</f>
        <v>120290</v>
      </c>
      <c r="IK40" s="9">
        <f t="shared" ref="IK40" si="282">SUM(IK6:IK39)</f>
        <v>120290</v>
      </c>
      <c r="IL40" s="9">
        <f t="shared" ref="IL40" si="283">SUM(IL6:IL39)</f>
        <v>120290</v>
      </c>
      <c r="IM40" s="9">
        <f t="shared" ref="IM40" si="284">SUM(IM6:IM39)</f>
        <v>181257.74</v>
      </c>
      <c r="IN40" s="9">
        <f t="shared" ref="IN40" si="285">SUM(IN6:IN39)</f>
        <v>151790</v>
      </c>
      <c r="IO40" s="9">
        <f t="shared" ref="IO40" si="286">SUM(IO6:IO39)</f>
        <v>151790</v>
      </c>
      <c r="IP40" s="9">
        <f t="shared" ref="IP40" si="287">SUM(IP6:IP39)</f>
        <v>175800</v>
      </c>
      <c r="IQ40" s="9">
        <f t="shared" ref="IQ40" si="288">SUM(IQ6:IQ39)</f>
        <v>155220</v>
      </c>
      <c r="IR40" s="9">
        <f t="shared" ref="IR40" si="289">SUM(IR6:IR39)</f>
        <v>155220</v>
      </c>
      <c r="IS40" s="9">
        <f t="shared" ref="IS40" si="290">SUM(IS6:IS39)</f>
        <v>155220</v>
      </c>
      <c r="IT40" s="9">
        <f t="shared" ref="IT40" si="291">SUM(IT6:IT39)</f>
        <v>155220</v>
      </c>
      <c r="IU40" s="9">
        <f t="shared" ref="IU40" si="292">SUM(IU6:IU39)</f>
        <v>155220</v>
      </c>
      <c r="IV40" s="9">
        <f t="shared" si="76"/>
        <v>1797607.74</v>
      </c>
      <c r="IW40" s="9">
        <f>SUM(IW6:IW39)</f>
        <v>3000</v>
      </c>
      <c r="IX40" s="9">
        <f t="shared" ref="IX40" si="293">SUM(IX6:IX39)</f>
        <v>3000</v>
      </c>
      <c r="IY40" s="9">
        <f t="shared" ref="IY40" si="294">SUM(IY6:IY39)</f>
        <v>3000</v>
      </c>
      <c r="IZ40" s="9">
        <f t="shared" ref="IZ40" si="295">SUM(IZ6:IZ39)</f>
        <v>4500</v>
      </c>
      <c r="JA40" s="9">
        <f t="shared" ref="JA40" si="296">SUM(JA6:JA39)</f>
        <v>3750</v>
      </c>
      <c r="JB40" s="9">
        <f t="shared" ref="JB40" si="297">SUM(JB6:JB39)</f>
        <v>3903.35</v>
      </c>
      <c r="JC40" s="9">
        <f t="shared" ref="JC40" si="298">SUM(JC6:JC39)</f>
        <v>3750</v>
      </c>
      <c r="JD40" s="9">
        <f t="shared" ref="JD40" si="299">SUM(JD6:JD39)</f>
        <v>3750</v>
      </c>
      <c r="JE40" s="9">
        <f t="shared" ref="JE40" si="300">SUM(JE6:JE39)</f>
        <v>3750</v>
      </c>
      <c r="JF40" s="9">
        <f t="shared" ref="JF40" si="301">SUM(JF6:JF39)</f>
        <v>3750</v>
      </c>
      <c r="JG40" s="9">
        <f t="shared" ref="JG40" si="302">SUM(JG6:JG39)</f>
        <v>3750</v>
      </c>
      <c r="JH40" s="9">
        <f t="shared" ref="JH40" si="303">SUM(JH6:JH39)</f>
        <v>3750</v>
      </c>
      <c r="JI40" s="9">
        <f t="shared" si="77"/>
        <v>43653.35</v>
      </c>
      <c r="JJ40" s="9">
        <f>SUM(JJ6:JJ39)</f>
        <v>1734</v>
      </c>
      <c r="JK40" s="9">
        <f t="shared" ref="JK40" si="304">SUM(JK6:JK39)</f>
        <v>1734</v>
      </c>
      <c r="JL40" s="9">
        <f t="shared" ref="JL40" si="305">SUM(JL6:JL39)</f>
        <v>1734</v>
      </c>
      <c r="JM40" s="9">
        <f t="shared" ref="JM40" si="306">SUM(JM6:JM39)</f>
        <v>1734</v>
      </c>
      <c r="JN40" s="9">
        <f t="shared" ref="JN40" si="307">SUM(JN6:JN39)</f>
        <v>2679</v>
      </c>
      <c r="JO40" s="9">
        <f t="shared" ref="JO40" si="308">SUM(JO6:JO39)</f>
        <v>2679</v>
      </c>
      <c r="JP40" s="9">
        <f t="shared" ref="JP40" si="309">SUM(JP6:JP39)</f>
        <v>3275</v>
      </c>
      <c r="JQ40" s="9">
        <f t="shared" ref="JQ40" si="310">SUM(JQ6:JQ39)</f>
        <v>2765</v>
      </c>
      <c r="JR40" s="9">
        <f t="shared" ref="JR40" si="311">SUM(JR6:JR39)</f>
        <v>2765</v>
      </c>
      <c r="JS40" s="9">
        <f t="shared" ref="JS40" si="312">SUM(JS6:JS39)</f>
        <v>2765</v>
      </c>
      <c r="JT40" s="9">
        <f t="shared" ref="JT40" si="313">SUM(JT6:JT39)</f>
        <v>3710</v>
      </c>
      <c r="JU40" s="9">
        <f t="shared" ref="JU40" si="314">SUM(JU6:JU39)</f>
        <v>3710</v>
      </c>
      <c r="JV40" s="9">
        <f t="shared" si="78"/>
        <v>31284</v>
      </c>
      <c r="JW40" s="9">
        <f t="shared" si="79"/>
        <v>1872545.09</v>
      </c>
      <c r="JX40" s="9">
        <f>SUM(JX6:JX39)</f>
        <v>127640</v>
      </c>
      <c r="JY40" s="9">
        <f t="shared" ref="JY40" si="315">SUM(JY6:JY39)</f>
        <v>127640</v>
      </c>
      <c r="JZ40" s="9">
        <f t="shared" ref="JZ40" si="316">SUM(JZ6:JZ39)</f>
        <v>127640</v>
      </c>
      <c r="KA40" s="9">
        <f t="shared" ref="KA40" si="317">SUM(KA6:KA39)</f>
        <v>127640</v>
      </c>
      <c r="KB40" s="9">
        <f t="shared" ref="KB40" si="318">SUM(KB6:KB39)</f>
        <v>127640</v>
      </c>
      <c r="KC40" s="9">
        <f t="shared" ref="KC40" si="319">SUM(KC6:KC39)</f>
        <v>127640</v>
      </c>
      <c r="KD40" s="9">
        <f t="shared" ref="KD40" si="320">SUM(KD6:KD39)</f>
        <v>162920</v>
      </c>
      <c r="KE40" s="9">
        <f t="shared" ref="KE40" si="321">SUM(KE6:KE39)</f>
        <v>132680</v>
      </c>
      <c r="KF40" s="9">
        <f t="shared" ref="KF40" si="322">SUM(KF6:KF39)</f>
        <v>132680</v>
      </c>
      <c r="KG40" s="9">
        <f t="shared" ref="KG40" si="323">SUM(KG6:KG39)</f>
        <v>132680</v>
      </c>
      <c r="KH40" s="9">
        <f t="shared" ref="KH40" si="324">SUM(KH6:KH39)</f>
        <v>132680</v>
      </c>
      <c r="KI40" s="9">
        <f t="shared" ref="KI40" si="325">SUM(KI6:KI39)</f>
        <v>132680</v>
      </c>
      <c r="KJ40" s="9">
        <f t="shared" si="80"/>
        <v>1592160</v>
      </c>
      <c r="KK40" s="9">
        <f>SUM(KK6:KK39)</f>
        <v>3000</v>
      </c>
      <c r="KL40" s="9">
        <f t="shared" ref="KL40" si="326">SUM(KL6:KL39)</f>
        <v>3000</v>
      </c>
      <c r="KM40" s="9">
        <f t="shared" ref="KM40" si="327">SUM(KM6:KM39)</f>
        <v>3000</v>
      </c>
      <c r="KN40" s="9">
        <f t="shared" ref="KN40" si="328">SUM(KN6:KN39)</f>
        <v>3000</v>
      </c>
      <c r="KO40" s="9">
        <f t="shared" ref="KO40" si="329">SUM(KO6:KO39)</f>
        <v>3000</v>
      </c>
      <c r="KP40" s="9">
        <f t="shared" ref="KP40" si="330">SUM(KP6:KP39)</f>
        <v>3122.68</v>
      </c>
      <c r="KQ40" s="9">
        <f t="shared" ref="KQ40" si="331">SUM(KQ6:KQ39)</f>
        <v>3000</v>
      </c>
      <c r="KR40" s="9">
        <f t="shared" ref="KR40" si="332">SUM(KR6:KR39)</f>
        <v>3000</v>
      </c>
      <c r="KS40" s="9">
        <f t="shared" ref="KS40" si="333">SUM(KS6:KS39)</f>
        <v>3000</v>
      </c>
      <c r="KT40" s="9">
        <f t="shared" ref="KT40" si="334">SUM(KT6:KT39)</f>
        <v>3000</v>
      </c>
      <c r="KU40" s="9">
        <f t="shared" ref="KU40" si="335">SUM(KU6:KU39)</f>
        <v>3000</v>
      </c>
      <c r="KV40" s="9">
        <f t="shared" ref="KV40" si="336">SUM(KV6:KV39)</f>
        <v>3000</v>
      </c>
      <c r="KW40" s="9">
        <f t="shared" si="81"/>
        <v>36122.68</v>
      </c>
      <c r="KX40" s="9">
        <f>SUM(KX6:KX39)</f>
        <v>992</v>
      </c>
      <c r="KY40" s="9">
        <f t="shared" ref="KY40" si="337">SUM(KY6:KY39)</f>
        <v>992</v>
      </c>
      <c r="KZ40" s="9">
        <f t="shared" ref="KZ40" si="338">SUM(KZ6:KZ39)</f>
        <v>992</v>
      </c>
      <c r="LA40" s="9">
        <f t="shared" ref="LA40" si="339">SUM(LA6:LA39)</f>
        <v>992</v>
      </c>
      <c r="LB40" s="9">
        <f t="shared" ref="LB40" si="340">SUM(LB6:LB39)</f>
        <v>992</v>
      </c>
      <c r="LC40" s="9">
        <f t="shared" ref="LC40" si="341">SUM(LC6:LC39)</f>
        <v>992</v>
      </c>
      <c r="LD40" s="9">
        <f t="shared" ref="LD40" si="342">SUM(LD6:LD39)</f>
        <v>1271</v>
      </c>
      <c r="LE40" s="9">
        <f t="shared" ref="LE40" si="343">SUM(LE6:LE39)</f>
        <v>1031</v>
      </c>
      <c r="LF40" s="9">
        <f t="shared" ref="LF40" si="344">SUM(LF6:LF39)</f>
        <v>1031</v>
      </c>
      <c r="LG40" s="9">
        <f t="shared" ref="LG40" si="345">SUM(LG6:LG39)</f>
        <v>1031</v>
      </c>
      <c r="LH40" s="9">
        <f t="shared" ref="LH40" si="346">SUM(LH6:LH39)</f>
        <v>1031</v>
      </c>
      <c r="LI40" s="9">
        <f t="shared" ref="LI40" si="347">SUM(LI6:LI39)</f>
        <v>1031</v>
      </c>
      <c r="LJ40" s="9">
        <f t="shared" si="82"/>
        <v>12378</v>
      </c>
      <c r="LK40" s="9">
        <f t="shared" si="83"/>
        <v>1640660.68</v>
      </c>
      <c r="LL40" s="9">
        <f>SUM(LL6:LL39)</f>
        <v>115410</v>
      </c>
      <c r="LM40" s="9">
        <f t="shared" ref="LM40" si="348">SUM(LM6:LM39)</f>
        <v>115410</v>
      </c>
      <c r="LN40" s="9">
        <f t="shared" ref="LN40" si="349">SUM(LN6:LN39)</f>
        <v>115410</v>
      </c>
      <c r="LO40" s="9">
        <f t="shared" ref="LO40" si="350">SUM(LO6:LO39)</f>
        <v>166216.45000000001</v>
      </c>
      <c r="LP40" s="9">
        <f t="shared" ref="LP40" si="351">SUM(LP6:LP39)</f>
        <v>141660</v>
      </c>
      <c r="LQ40" s="9">
        <f t="shared" ref="LQ40" si="352">SUM(LQ6:LQ39)</f>
        <v>141660</v>
      </c>
      <c r="LR40" s="9">
        <f t="shared" ref="LR40" si="353">SUM(LR6:LR39)</f>
        <v>159440</v>
      </c>
      <c r="LS40" s="9">
        <f t="shared" ref="LS40" si="354">SUM(LS6:LS39)</f>
        <v>144200</v>
      </c>
      <c r="LT40" s="9">
        <f t="shared" ref="LT40" si="355">SUM(LT6:LT39)</f>
        <v>144200</v>
      </c>
      <c r="LU40" s="9">
        <f t="shared" ref="LU40" si="356">SUM(LU6:LU39)</f>
        <v>144200</v>
      </c>
      <c r="LV40" s="9">
        <f t="shared" ref="LV40" si="357">SUM(LV6:LV39)</f>
        <v>144200</v>
      </c>
      <c r="LW40" s="9">
        <f t="shared" ref="LW40" si="358">SUM(LW6:LW39)</f>
        <v>150127.42000000001</v>
      </c>
      <c r="LX40" s="9">
        <f t="shared" si="84"/>
        <v>1682133.8699999999</v>
      </c>
      <c r="LY40" s="9">
        <f>SUM(LY6:LY39)</f>
        <v>3000</v>
      </c>
      <c r="LZ40" s="9">
        <f t="shared" ref="LZ40" si="359">SUM(LZ6:LZ39)</f>
        <v>3000</v>
      </c>
      <c r="MA40" s="9">
        <f t="shared" ref="MA40" si="360">SUM(MA6:MA39)</f>
        <v>3000</v>
      </c>
      <c r="MB40" s="9">
        <f t="shared" ref="MB40" si="361">SUM(MB6:MB39)</f>
        <v>4500</v>
      </c>
      <c r="MC40" s="9">
        <f t="shared" ref="MC40" si="362">SUM(MC6:MC39)</f>
        <v>3750</v>
      </c>
      <c r="MD40" s="9">
        <f t="shared" ref="MD40" si="363">SUM(MD6:MD39)</f>
        <v>3903.35</v>
      </c>
      <c r="ME40" s="9">
        <f t="shared" ref="ME40" si="364">SUM(ME6:ME39)</f>
        <v>3750</v>
      </c>
      <c r="MF40" s="9">
        <f t="shared" ref="MF40" si="365">SUM(MF6:MF39)</f>
        <v>3750</v>
      </c>
      <c r="MG40" s="9">
        <f t="shared" ref="MG40" si="366">SUM(MG6:MG39)</f>
        <v>3750</v>
      </c>
      <c r="MH40" s="9">
        <f t="shared" ref="MH40" si="367">SUM(MH6:MH39)</f>
        <v>3750</v>
      </c>
      <c r="MI40" s="9">
        <f t="shared" ref="MI40" si="368">SUM(MI6:MI39)</f>
        <v>3750</v>
      </c>
      <c r="MJ40" s="9">
        <f t="shared" ref="MJ40" si="369">SUM(MJ6:MJ39)</f>
        <v>3929</v>
      </c>
      <c r="MK40" s="9">
        <f t="shared" si="85"/>
        <v>43832.35</v>
      </c>
      <c r="ML40" s="9">
        <f>SUM(ML6:ML39)</f>
        <v>3463</v>
      </c>
      <c r="MM40" s="9">
        <f t="shared" ref="MM40" si="370">SUM(MM6:MM39)</f>
        <v>3463</v>
      </c>
      <c r="MN40" s="9">
        <f t="shared" ref="MN40" si="371">SUM(MN6:MN39)</f>
        <v>3463</v>
      </c>
      <c r="MO40" s="9">
        <f t="shared" ref="MO40" si="372">SUM(MO6:MO39)</f>
        <v>3463</v>
      </c>
      <c r="MP40" s="9">
        <f t="shared" ref="MP40" si="373">SUM(MP6:MP39)</f>
        <v>3463</v>
      </c>
      <c r="MQ40" s="9">
        <f t="shared" ref="MQ40" si="374">SUM(MQ6:MQ39)</f>
        <v>3463</v>
      </c>
      <c r="MR40" s="9">
        <f t="shared" ref="MR40" si="375">SUM(MR6:MR39)</f>
        <v>3995</v>
      </c>
      <c r="MS40" s="9">
        <f t="shared" ref="MS40" si="376">SUM(MS6:MS39)</f>
        <v>3539</v>
      </c>
      <c r="MT40" s="9">
        <f t="shared" ref="MT40" si="377">SUM(MT6:MT39)</f>
        <v>3539</v>
      </c>
      <c r="MU40" s="9">
        <f t="shared" ref="MU40" si="378">SUM(MU6:MU39)</f>
        <v>3539</v>
      </c>
      <c r="MV40" s="9">
        <f t="shared" ref="MV40" si="379">SUM(MV6:MV39)</f>
        <v>4327</v>
      </c>
      <c r="MW40" s="9">
        <f t="shared" ref="MW40" si="380">SUM(MW6:MW39)</f>
        <v>4327</v>
      </c>
      <c r="MX40" s="9">
        <f t="shared" si="86"/>
        <v>44044</v>
      </c>
      <c r="MY40" s="9">
        <f t="shared" si="87"/>
        <v>1770010.22</v>
      </c>
      <c r="MZ40" s="9">
        <f>SUM(MZ6:MZ39)</f>
        <v>1009201.91</v>
      </c>
      <c r="NA40" s="9">
        <f t="shared" ref="NA40" si="381">SUM(NA6:NA39)</f>
        <v>967710</v>
      </c>
      <c r="NB40" s="9">
        <f t="shared" ref="NB40" si="382">SUM(NB6:NB39)</f>
        <v>967710</v>
      </c>
      <c r="NC40" s="9">
        <f t="shared" ref="NC40" si="383">SUM(NC6:NC39)</f>
        <v>967710</v>
      </c>
      <c r="ND40" s="9">
        <f t="shared" ref="ND40" si="384">SUM(ND6:ND39)</f>
        <v>967710</v>
      </c>
      <c r="NE40" s="9">
        <f t="shared" ref="NE40" si="385">SUM(NE6:NE39)</f>
        <v>967710</v>
      </c>
      <c r="NF40" s="9">
        <f t="shared" ref="NF40" si="386">SUM(NF6:NF39)</f>
        <v>1082250</v>
      </c>
      <c r="NG40" s="9">
        <f t="shared" ref="NG40" si="387">SUM(NG6:NG39)</f>
        <v>1124550</v>
      </c>
      <c r="NH40" s="9">
        <f t="shared" ref="NH40" si="388">SUM(NH6:NH39)</f>
        <v>976950</v>
      </c>
      <c r="NI40" s="9">
        <f t="shared" ref="NI40" si="389">SUM(NI6:NI39)</f>
        <v>976950</v>
      </c>
      <c r="NJ40" s="9">
        <f t="shared" ref="NJ40" si="390">SUM(NJ6:NJ39)</f>
        <v>976950</v>
      </c>
      <c r="NK40" s="9">
        <f t="shared" ref="NK40" si="391">SUM(NK6:NK39)</f>
        <v>976950</v>
      </c>
      <c r="NL40" s="9">
        <f t="shared" si="88"/>
        <v>11962351.91</v>
      </c>
      <c r="NM40" s="9">
        <f>SUM(NM6:NM39)</f>
        <v>27750</v>
      </c>
      <c r="NN40" s="9">
        <f t="shared" ref="NN40" si="392">SUM(NN6:NN39)</f>
        <v>26250</v>
      </c>
      <c r="NO40" s="9">
        <f t="shared" ref="NO40" si="393">SUM(NO6:NO39)</f>
        <v>26250</v>
      </c>
      <c r="NP40" s="9">
        <f t="shared" ref="NP40" si="394">SUM(NP6:NP39)</f>
        <v>26250</v>
      </c>
      <c r="NQ40" s="9">
        <f t="shared" ref="NQ40" si="395">SUM(NQ6:NQ39)</f>
        <v>26250</v>
      </c>
      <c r="NR40" s="9">
        <f t="shared" ref="NR40" si="396">SUM(NR6:NR39)</f>
        <v>26556.67</v>
      </c>
      <c r="NS40" s="9">
        <f t="shared" ref="NS40" si="397">SUM(NS6:NS39)</f>
        <v>40379.520000000004</v>
      </c>
      <c r="NT40" s="9">
        <f t="shared" ref="NT40" si="398">SUM(NT6:NT39)</f>
        <v>25500</v>
      </c>
      <c r="NU40" s="9">
        <f t="shared" ref="NU40" si="399">SUM(NU6:NU39)</f>
        <v>25500</v>
      </c>
      <c r="NV40" s="9">
        <f t="shared" ref="NV40" si="400">SUM(NV6:NV39)</f>
        <v>25500</v>
      </c>
      <c r="NW40" s="9">
        <f t="shared" ref="NW40" si="401">SUM(NW6:NW39)</f>
        <v>25500</v>
      </c>
      <c r="NX40" s="9">
        <f t="shared" ref="NX40" si="402">SUM(NX6:NX39)</f>
        <v>25500</v>
      </c>
      <c r="NY40" s="9">
        <f t="shared" si="89"/>
        <v>327186.19</v>
      </c>
      <c r="NZ40" s="9">
        <f>SUM(NZ6:NZ39)</f>
        <v>19651</v>
      </c>
      <c r="OA40" s="9">
        <f t="shared" ref="OA40" si="403">SUM(OA6:OA39)</f>
        <v>19651</v>
      </c>
      <c r="OB40" s="9">
        <f t="shared" ref="OB40" si="404">SUM(OB6:OB39)</f>
        <v>19651</v>
      </c>
      <c r="OC40" s="9">
        <f t="shared" ref="OC40" si="405">SUM(OC6:OC39)</f>
        <v>19651</v>
      </c>
      <c r="OD40" s="9">
        <f t="shared" ref="OD40" si="406">SUM(OD6:OD39)</f>
        <v>19651</v>
      </c>
      <c r="OE40" s="9">
        <f t="shared" ref="OE40" si="407">SUM(OE6:OE39)</f>
        <v>19651</v>
      </c>
      <c r="OF40" s="9">
        <f t="shared" ref="OF40" si="408">SUM(OF6:OF39)</f>
        <v>24465</v>
      </c>
      <c r="OG40" s="9">
        <f t="shared" ref="OG40" si="409">SUM(OG6:OG39)</f>
        <v>26220</v>
      </c>
      <c r="OH40" s="9">
        <f t="shared" ref="OH40" si="410">SUM(OH6:OH39)</f>
        <v>22080</v>
      </c>
      <c r="OI40" s="9">
        <f t="shared" ref="OI40" si="411">SUM(OI6:OI39)</f>
        <v>22080</v>
      </c>
      <c r="OJ40" s="9">
        <f t="shared" ref="OJ40" si="412">SUM(OJ6:OJ39)</f>
        <v>22080</v>
      </c>
      <c r="OK40" s="9">
        <f t="shared" ref="OK40" si="413">SUM(OK6:OK39)</f>
        <v>21318</v>
      </c>
      <c r="OL40" s="9">
        <f t="shared" si="90"/>
        <v>256149</v>
      </c>
      <c r="OM40" s="9">
        <f t="shared" si="91"/>
        <v>12545687.1</v>
      </c>
      <c r="ON40" s="9">
        <f>SUM(ON6:ON39)</f>
        <v>11200</v>
      </c>
      <c r="OO40" s="9">
        <f t="shared" ref="OO40:OY40" si="414">SUM(OO6:OO39)</f>
        <v>11200</v>
      </c>
      <c r="OP40" s="9">
        <f t="shared" si="414"/>
        <v>11200</v>
      </c>
      <c r="OQ40" s="9">
        <f t="shared" si="414"/>
        <v>11200</v>
      </c>
      <c r="OR40" s="9">
        <f t="shared" si="414"/>
        <v>11200</v>
      </c>
      <c r="OS40" s="9">
        <f t="shared" si="414"/>
        <v>74293.33</v>
      </c>
      <c r="OT40" s="9">
        <f t="shared" si="414"/>
        <v>11200</v>
      </c>
      <c r="OU40" s="9">
        <f t="shared" si="414"/>
        <v>11200</v>
      </c>
      <c r="OV40" s="9">
        <f t="shared" si="414"/>
        <v>11200</v>
      </c>
      <c r="OW40" s="9">
        <f t="shared" si="414"/>
        <v>11200</v>
      </c>
      <c r="OX40" s="9">
        <f t="shared" si="414"/>
        <v>11200</v>
      </c>
      <c r="OY40" s="9">
        <f t="shared" si="414"/>
        <v>11200</v>
      </c>
      <c r="OZ40" s="9">
        <f t="shared" si="92"/>
        <v>197493.33000000002</v>
      </c>
      <c r="PA40" s="83">
        <f>+AQ40+CE40+DS40+FG40+GU40+II40+JW40+LK40+MY40+OM40+OZ40</f>
        <v>30098015.079999998</v>
      </c>
      <c r="PB40" s="85">
        <f>SUM(PB6:PB39)</f>
        <v>30098015.079999998</v>
      </c>
    </row>
    <row r="41" spans="1:418" ht="21.75" thickTop="1" x14ac:dyDescent="0.35"/>
    <row r="42" spans="1:418" hidden="1" x14ac:dyDescent="0.35">
      <c r="A42" s="1" t="s">
        <v>301</v>
      </c>
      <c r="D42" s="3">
        <f>+D40-D43</f>
        <v>128790</v>
      </c>
      <c r="E42" s="3">
        <f t="shared" ref="E42:O42" si="415">+E40-E43</f>
        <v>155040</v>
      </c>
      <c r="F42" s="3">
        <f t="shared" si="415"/>
        <v>155040</v>
      </c>
      <c r="G42" s="3">
        <f t="shared" si="415"/>
        <v>125590.97</v>
      </c>
      <c r="H42" s="3">
        <f t="shared" si="415"/>
        <v>155040</v>
      </c>
      <c r="I42" s="3">
        <f t="shared" si="415"/>
        <v>155040</v>
      </c>
      <c r="J42" s="3">
        <f t="shared" si="415"/>
        <v>161500</v>
      </c>
      <c r="K42" s="3">
        <f t="shared" si="415"/>
        <v>161500</v>
      </c>
      <c r="L42" s="3">
        <f t="shared" si="415"/>
        <v>161500</v>
      </c>
      <c r="M42" s="3">
        <f t="shared" si="415"/>
        <v>161500</v>
      </c>
      <c r="N42" s="3">
        <f t="shared" si="415"/>
        <v>161500</v>
      </c>
      <c r="O42" s="3">
        <f t="shared" si="415"/>
        <v>161500</v>
      </c>
      <c r="P42" s="3">
        <f>SUM(D42:O42)</f>
        <v>1843540.97</v>
      </c>
      <c r="Q42" s="3">
        <f>+Q40-Q43</f>
        <v>3000</v>
      </c>
      <c r="R42" s="3">
        <f t="shared" ref="R42" si="416">+R40-R43</f>
        <v>3750</v>
      </c>
      <c r="S42" s="3">
        <f t="shared" ref="S42" si="417">+S40-S43</f>
        <v>3750</v>
      </c>
      <c r="T42" s="3">
        <f t="shared" ref="T42" si="418">+T40-T43</f>
        <v>3102</v>
      </c>
      <c r="U42" s="3">
        <f t="shared" ref="U42" si="419">+U40-U43</f>
        <v>3750</v>
      </c>
      <c r="V42" s="3">
        <f t="shared" ref="V42" si="420">+V40-V43</f>
        <v>3750</v>
      </c>
      <c r="W42" s="3">
        <f t="shared" ref="W42" si="421">+W40-W43</f>
        <v>3750</v>
      </c>
      <c r="X42" s="3">
        <f t="shared" ref="X42" si="422">+X40-X43</f>
        <v>3750</v>
      </c>
      <c r="Y42" s="3">
        <f t="shared" ref="Y42" si="423">+Y40-Y43</f>
        <v>3750</v>
      </c>
      <c r="Z42" s="3">
        <f t="shared" ref="Z42" si="424">+Z40-Z43</f>
        <v>3750</v>
      </c>
      <c r="AA42" s="3">
        <f t="shared" ref="AA42" si="425">+AA40-AA43</f>
        <v>3750</v>
      </c>
      <c r="AB42" s="3">
        <f t="shared" ref="AB42" si="426">+AB40-AB43</f>
        <v>3750</v>
      </c>
      <c r="AC42" s="3">
        <f>SUM(Q42:AB42)</f>
        <v>43602</v>
      </c>
      <c r="AD42" s="3">
        <f>+AD40-AD43</f>
        <v>2919</v>
      </c>
      <c r="AE42" s="3">
        <f t="shared" ref="AE42" si="427">+AE40-AE43</f>
        <v>2919</v>
      </c>
      <c r="AF42" s="3">
        <f t="shared" ref="AF42" si="428">+AF40-AF43</f>
        <v>2919</v>
      </c>
      <c r="AG42" s="3">
        <f t="shared" ref="AG42" si="429">+AG40-AG43</f>
        <v>2919</v>
      </c>
      <c r="AH42" s="3">
        <f t="shared" ref="AH42" si="430">+AH40-AH43</f>
        <v>2919</v>
      </c>
      <c r="AI42" s="3">
        <f t="shared" ref="AI42" si="431">+AI40-AI43</f>
        <v>2919</v>
      </c>
      <c r="AJ42" s="3">
        <f t="shared" ref="AJ42" si="432">+AJ40-AJ43</f>
        <v>3067</v>
      </c>
      <c r="AK42" s="3">
        <f t="shared" ref="AK42" si="433">+AK40-AK43</f>
        <v>3067</v>
      </c>
      <c r="AL42" s="3">
        <f t="shared" ref="AL42" si="434">+AL40-AL43</f>
        <v>3067</v>
      </c>
      <c r="AM42" s="3">
        <f t="shared" ref="AM42" si="435">+AM40-AM43</f>
        <v>3067</v>
      </c>
      <c r="AN42" s="3">
        <f t="shared" ref="AN42" si="436">+AN40-AN43</f>
        <v>3067</v>
      </c>
      <c r="AO42" s="3">
        <f t="shared" ref="AO42" si="437">+AO40-AO43</f>
        <v>3067</v>
      </c>
      <c r="AP42" s="3">
        <f>SUM(AD42:AO42)</f>
        <v>35916</v>
      </c>
      <c r="AQ42" s="67">
        <f>+P42+AC42+AP42</f>
        <v>1923058.97</v>
      </c>
      <c r="AR42" s="3">
        <f>+AR40-AR43</f>
        <v>145710</v>
      </c>
      <c r="AS42" s="3">
        <f t="shared" ref="AS42" si="438">+AS40-AS43</f>
        <v>145710</v>
      </c>
      <c r="AT42" s="3">
        <f t="shared" ref="AT42" si="439">+AT40-AT43</f>
        <v>145710</v>
      </c>
      <c r="AU42" s="3">
        <f t="shared" ref="AU42" si="440">+AU40-AU43</f>
        <v>145710</v>
      </c>
      <c r="AV42" s="3">
        <f t="shared" ref="AV42" si="441">+AV40-AV43</f>
        <v>145710</v>
      </c>
      <c r="AW42" s="3">
        <f t="shared" ref="AW42" si="442">+AW40-AW43</f>
        <v>145710</v>
      </c>
      <c r="AX42" s="3">
        <f t="shared" ref="AX42" si="443">+AX40-AX43</f>
        <v>151670</v>
      </c>
      <c r="AY42" s="3">
        <f t="shared" ref="AY42" si="444">+AY40-AY43</f>
        <v>151670</v>
      </c>
      <c r="AZ42" s="3">
        <f t="shared" ref="AZ42" si="445">+AZ40-AZ43</f>
        <v>151670</v>
      </c>
      <c r="BA42" s="3">
        <f t="shared" ref="BA42" si="446">+BA40-BA43</f>
        <v>151670</v>
      </c>
      <c r="BB42" s="3">
        <f t="shared" ref="BB42" si="447">+BB40-BB43</f>
        <v>151670</v>
      </c>
      <c r="BC42" s="3">
        <f t="shared" ref="BC42" si="448">+BC40-BC43</f>
        <v>151670</v>
      </c>
      <c r="BD42" s="3">
        <f>SUM(AR42:BC42)</f>
        <v>1784280</v>
      </c>
      <c r="BE42" s="3">
        <f>+BE40-BE43</f>
        <v>3750</v>
      </c>
      <c r="BF42" s="3">
        <f t="shared" ref="BF42" si="449">+BF40-BF43</f>
        <v>3750</v>
      </c>
      <c r="BG42" s="3">
        <f t="shared" ref="BG42" si="450">+BG40-BG43</f>
        <v>3750</v>
      </c>
      <c r="BH42" s="3">
        <f t="shared" ref="BH42" si="451">+BH40-BH43</f>
        <v>3750</v>
      </c>
      <c r="BI42" s="3">
        <f t="shared" ref="BI42" si="452">+BI40-BI43</f>
        <v>3750</v>
      </c>
      <c r="BJ42" s="3">
        <f t="shared" ref="BJ42" si="453">+BJ40-BJ43</f>
        <v>3750</v>
      </c>
      <c r="BK42" s="3">
        <f t="shared" ref="BK42" si="454">+BK40-BK43</f>
        <v>3750</v>
      </c>
      <c r="BL42" s="3">
        <f t="shared" ref="BL42" si="455">+BL40-BL43</f>
        <v>3750</v>
      </c>
      <c r="BM42" s="3">
        <f t="shared" ref="BM42" si="456">+BM40-BM43</f>
        <v>3750</v>
      </c>
      <c r="BN42" s="3">
        <f t="shared" ref="BN42" si="457">+BN40-BN43</f>
        <v>3750</v>
      </c>
      <c r="BO42" s="3">
        <f t="shared" ref="BO42" si="458">+BO40-BO43</f>
        <v>3750</v>
      </c>
      <c r="BP42" s="3">
        <f t="shared" ref="BP42" si="459">+BP40-BP43</f>
        <v>3750</v>
      </c>
      <c r="BQ42" s="3">
        <f>SUM(BE42:BP42)</f>
        <v>45000</v>
      </c>
      <c r="BR42" s="3">
        <f>+BR40-BR43</f>
        <v>2740</v>
      </c>
      <c r="BS42" s="3">
        <f t="shared" ref="BS42" si="460">+BS40-BS43</f>
        <v>2740</v>
      </c>
      <c r="BT42" s="3">
        <f t="shared" ref="BT42" si="461">+BT40-BT43</f>
        <v>2740</v>
      </c>
      <c r="BU42" s="3">
        <f t="shared" ref="BU42" si="462">+BU40-BU43</f>
        <v>2740</v>
      </c>
      <c r="BV42" s="3">
        <f t="shared" ref="BV42" si="463">+BV40-BV43</f>
        <v>2740</v>
      </c>
      <c r="BW42" s="3">
        <f t="shared" ref="BW42" si="464">+BW40-BW43</f>
        <v>2740</v>
      </c>
      <c r="BX42" s="3">
        <f t="shared" ref="BX42" si="465">+BX40-BX43</f>
        <v>2876</v>
      </c>
      <c r="BY42" s="3">
        <f t="shared" ref="BY42" si="466">+BY40-BY43</f>
        <v>2876</v>
      </c>
      <c r="BZ42" s="3">
        <f t="shared" ref="BZ42" si="467">+BZ40-BZ43</f>
        <v>2876</v>
      </c>
      <c r="CA42" s="3">
        <f t="shared" ref="CA42" si="468">+CA40-CA43</f>
        <v>2876</v>
      </c>
      <c r="CB42" s="3">
        <f t="shared" ref="CB42" si="469">+CB40-CB43</f>
        <v>2876</v>
      </c>
      <c r="CC42" s="3">
        <f t="shared" ref="CC42" si="470">+CC40-CC43</f>
        <v>2876</v>
      </c>
      <c r="CD42" s="3">
        <f>SUM(BR42:CC42)</f>
        <v>33696</v>
      </c>
      <c r="CE42" s="67">
        <f t="shared" ref="CE42" si="471">+BD42+BQ42+CD42</f>
        <v>1862976</v>
      </c>
      <c r="CF42" s="3">
        <f>+CF40-CF43</f>
        <v>65640</v>
      </c>
      <c r="CG42" s="3">
        <f t="shared" ref="CG42" si="472">+CG40-CG43</f>
        <v>65640</v>
      </c>
      <c r="CH42" s="3">
        <f t="shared" ref="CH42" si="473">+CH40-CH43</f>
        <v>65640</v>
      </c>
      <c r="CI42" s="3">
        <f t="shared" ref="CI42" si="474">+CI40-CI43</f>
        <v>65640</v>
      </c>
      <c r="CJ42" s="3">
        <f t="shared" ref="CJ42" si="475">+CJ40-CJ43</f>
        <v>65640</v>
      </c>
      <c r="CK42" s="3">
        <f t="shared" ref="CK42" si="476">+CK40-CK43</f>
        <v>65640</v>
      </c>
      <c r="CL42" s="3">
        <f t="shared" ref="CL42" si="477">+CL40-CL43</f>
        <v>68560</v>
      </c>
      <c r="CM42" s="3">
        <f t="shared" ref="CM42" si="478">+CM40-CM43</f>
        <v>68560</v>
      </c>
      <c r="CN42" s="3">
        <f t="shared" ref="CN42" si="479">+CN40-CN43</f>
        <v>68560</v>
      </c>
      <c r="CO42" s="3">
        <f t="shared" ref="CO42" si="480">+CO40-CO43</f>
        <v>68560</v>
      </c>
      <c r="CP42" s="3">
        <f t="shared" ref="CP42" si="481">+CP40-CP43</f>
        <v>68560</v>
      </c>
      <c r="CQ42" s="3">
        <f t="shared" ref="CQ42" si="482">+CQ40-CQ43</f>
        <v>68560</v>
      </c>
      <c r="CR42" s="3">
        <f>SUM(CF42:CQ42)</f>
        <v>805200</v>
      </c>
      <c r="CS42" s="3">
        <f>+CS40-CS43</f>
        <v>1500</v>
      </c>
      <c r="CT42" s="3">
        <f t="shared" ref="CT42" si="483">+CT40-CT43</f>
        <v>1500</v>
      </c>
      <c r="CU42" s="3">
        <f t="shared" ref="CU42" si="484">+CU40-CU43</f>
        <v>1500</v>
      </c>
      <c r="CV42" s="3">
        <f t="shared" ref="CV42" si="485">+CV40-CV43</f>
        <v>1500</v>
      </c>
      <c r="CW42" s="3">
        <f t="shared" ref="CW42" si="486">+CW40-CW43</f>
        <v>1500</v>
      </c>
      <c r="CX42" s="3">
        <f t="shared" ref="CX42" si="487">+CX40-CX43</f>
        <v>1561.34</v>
      </c>
      <c r="CY42" s="3">
        <f t="shared" ref="CY42" si="488">+CY40-CY43</f>
        <v>1500</v>
      </c>
      <c r="CZ42" s="3">
        <f t="shared" ref="CZ42" si="489">+CZ40-CZ43</f>
        <v>1500</v>
      </c>
      <c r="DA42" s="3">
        <f t="shared" ref="DA42" si="490">+DA40-DA43</f>
        <v>1500</v>
      </c>
      <c r="DB42" s="3">
        <f t="shared" ref="DB42" si="491">+DB40-DB43</f>
        <v>1500</v>
      </c>
      <c r="DC42" s="3">
        <f t="shared" ref="DC42" si="492">+DC40-DC43</f>
        <v>1500</v>
      </c>
      <c r="DD42" s="3">
        <f t="shared" ref="DD42" si="493">+DD40-DD43</f>
        <v>1500</v>
      </c>
      <c r="DE42" s="3">
        <f>SUM(CS42:DD42)</f>
        <v>18061.34</v>
      </c>
      <c r="DF42" s="3">
        <f>+DF40-DF43</f>
        <v>980</v>
      </c>
      <c r="DG42" s="3">
        <f t="shared" ref="DG42" si="494">+DG40-DG43</f>
        <v>980</v>
      </c>
      <c r="DH42" s="3">
        <f t="shared" ref="DH42" si="495">+DH40-DH43</f>
        <v>980</v>
      </c>
      <c r="DI42" s="3">
        <f t="shared" ref="DI42" si="496">+DI40-DI43</f>
        <v>980</v>
      </c>
      <c r="DJ42" s="3">
        <f t="shared" ref="DJ42" si="497">+DJ40-DJ43</f>
        <v>1969</v>
      </c>
      <c r="DK42" s="3">
        <f t="shared" ref="DK42" si="498">+DK40-DK43</f>
        <v>1969</v>
      </c>
      <c r="DL42" s="3">
        <f t="shared" ref="DL42" si="499">+DL40-DL43</f>
        <v>2056</v>
      </c>
      <c r="DM42" s="3">
        <f t="shared" ref="DM42" si="500">+DM40-DM43</f>
        <v>2056</v>
      </c>
      <c r="DN42" s="3">
        <f t="shared" ref="DN42" si="501">+DN40-DN43</f>
        <v>2056</v>
      </c>
      <c r="DO42" s="3">
        <f t="shared" ref="DO42" si="502">+DO40-DO43</f>
        <v>2056</v>
      </c>
      <c r="DP42" s="3">
        <f t="shared" ref="DP42" si="503">+DP40-DP43</f>
        <v>2056</v>
      </c>
      <c r="DQ42" s="3">
        <f t="shared" ref="DQ42" si="504">+DQ40-DQ43</f>
        <v>2056</v>
      </c>
      <c r="DR42" s="3">
        <f>SUM(DF42:DQ42)</f>
        <v>20194</v>
      </c>
      <c r="DS42" s="67">
        <f t="shared" ref="DS42" si="505">+CR42+DE42+DR42</f>
        <v>843455.34</v>
      </c>
      <c r="DT42" s="3">
        <f>+DT40-DT43</f>
        <v>132050</v>
      </c>
      <c r="DU42" s="3">
        <f t="shared" ref="DU42" si="506">+DU40-DU43</f>
        <v>132050</v>
      </c>
      <c r="DV42" s="3">
        <f t="shared" ref="DV42" si="507">+DV40-DV43</f>
        <v>132050</v>
      </c>
      <c r="DW42" s="3">
        <f t="shared" ref="DW42" si="508">+DW40-DW43</f>
        <v>132050</v>
      </c>
      <c r="DX42" s="3">
        <f t="shared" ref="DX42" si="509">+DX40-DX43</f>
        <v>132050</v>
      </c>
      <c r="DY42" s="3">
        <f t="shared" ref="DY42" si="510">+DY40-DY43</f>
        <v>132050</v>
      </c>
      <c r="DZ42" s="3">
        <f t="shared" ref="DZ42" si="511">+DZ40-DZ43</f>
        <v>137010</v>
      </c>
      <c r="EA42" s="3">
        <f t="shared" ref="EA42" si="512">+EA40-EA43</f>
        <v>137010</v>
      </c>
      <c r="EB42" s="3">
        <f t="shared" ref="EB42" si="513">+EB40-EB43</f>
        <v>137010</v>
      </c>
      <c r="EC42" s="3">
        <f t="shared" ref="EC42" si="514">+EC40-EC43</f>
        <v>137010</v>
      </c>
      <c r="ED42" s="3">
        <f t="shared" ref="ED42" si="515">+ED40-ED43</f>
        <v>137010</v>
      </c>
      <c r="EE42" s="3">
        <f t="shared" ref="EE42" si="516">+EE40-EE43</f>
        <v>137010</v>
      </c>
      <c r="EF42" s="3">
        <f>SUM(DT42:EE42)</f>
        <v>1614360</v>
      </c>
      <c r="EG42" s="3">
        <f>+EG40-EG43</f>
        <v>3000</v>
      </c>
      <c r="EH42" s="3">
        <f t="shared" ref="EH42" si="517">+EH40-EH43</f>
        <v>3000</v>
      </c>
      <c r="EI42" s="3">
        <f t="shared" ref="EI42" si="518">+EI40-EI43</f>
        <v>3000</v>
      </c>
      <c r="EJ42" s="3">
        <f t="shared" ref="EJ42" si="519">+EJ40-EJ43</f>
        <v>3000</v>
      </c>
      <c r="EK42" s="3">
        <f t="shared" ref="EK42" si="520">+EK40-EK43</f>
        <v>3000</v>
      </c>
      <c r="EL42" s="3">
        <f t="shared" ref="EL42" si="521">+EL40-EL43</f>
        <v>3030.67</v>
      </c>
      <c r="EM42" s="3">
        <f t="shared" ref="EM42" si="522">+EM40-EM43</f>
        <v>3000</v>
      </c>
      <c r="EN42" s="3">
        <f t="shared" ref="EN42" si="523">+EN40-EN43</f>
        <v>3000</v>
      </c>
      <c r="EO42" s="3">
        <f t="shared" ref="EO42" si="524">+EO40-EO43</f>
        <v>3000</v>
      </c>
      <c r="EP42" s="3">
        <f t="shared" ref="EP42" si="525">+EP40-EP43</f>
        <v>3000</v>
      </c>
      <c r="EQ42" s="3">
        <f t="shared" ref="EQ42" si="526">+EQ40-EQ43</f>
        <v>3000</v>
      </c>
      <c r="ER42" s="3">
        <f t="shared" ref="ER42" si="527">+ER40-ER43</f>
        <v>3000</v>
      </c>
      <c r="ES42" s="3">
        <f>SUM(EG42:ER42)</f>
        <v>36030.67</v>
      </c>
      <c r="ET42" s="3">
        <f>+ET40-ET43</f>
        <v>0</v>
      </c>
      <c r="EU42" s="3">
        <f t="shared" ref="EU42" si="528">+EU40-EU43</f>
        <v>0</v>
      </c>
      <c r="EV42" s="3">
        <f t="shared" ref="EV42" si="529">+EV40-EV43</f>
        <v>0</v>
      </c>
      <c r="EW42" s="3">
        <f t="shared" ref="EW42" si="530">+EW40-EW43</f>
        <v>0</v>
      </c>
      <c r="EX42" s="3">
        <f t="shared" ref="EX42" si="531">+EX40-EX43</f>
        <v>0</v>
      </c>
      <c r="EY42" s="3">
        <f t="shared" ref="EY42" si="532">+EY40-EY43</f>
        <v>0</v>
      </c>
      <c r="EZ42" s="3">
        <f t="shared" ref="EZ42" si="533">+EZ40-EZ43</f>
        <v>0</v>
      </c>
      <c r="FA42" s="3">
        <f t="shared" ref="FA42" si="534">+FA40-FA43</f>
        <v>0</v>
      </c>
      <c r="FB42" s="3">
        <f t="shared" ref="FB42" si="535">+FB40-FB43</f>
        <v>0</v>
      </c>
      <c r="FC42" s="3">
        <f t="shared" ref="FC42" si="536">+FC40-FC43</f>
        <v>0</v>
      </c>
      <c r="FD42" s="3">
        <f t="shared" ref="FD42" si="537">+FD40-FD43</f>
        <v>0</v>
      </c>
      <c r="FE42" s="3">
        <f t="shared" ref="FE42" si="538">+FE40-FE43</f>
        <v>0</v>
      </c>
      <c r="FF42" s="3">
        <f>SUM(ET42:FE42)</f>
        <v>0</v>
      </c>
      <c r="FG42" s="67">
        <f t="shared" ref="FG42" si="539">+EF42+ES42+FF42</f>
        <v>1650390.67</v>
      </c>
      <c r="FH42" s="3">
        <f>+FH40-FH43</f>
        <v>186220</v>
      </c>
      <c r="FI42" s="3">
        <f t="shared" ref="FI42" si="540">+FI40-FI43</f>
        <v>186220</v>
      </c>
      <c r="FJ42" s="3">
        <f t="shared" ref="FJ42" si="541">+FJ40-FJ43</f>
        <v>217720</v>
      </c>
      <c r="FK42" s="3">
        <f t="shared" ref="FK42" si="542">+FK40-FK43</f>
        <v>217720</v>
      </c>
      <c r="FL42" s="3">
        <f t="shared" ref="FL42" si="543">+FL40-FL43</f>
        <v>217720</v>
      </c>
      <c r="FM42" s="3">
        <f t="shared" ref="FM42" si="544">+FM40-FM43</f>
        <v>217720</v>
      </c>
      <c r="FN42" s="3">
        <f t="shared" ref="FN42" si="545">+FN40-FN43</f>
        <v>224780</v>
      </c>
      <c r="FO42" s="3">
        <f t="shared" ref="FO42" si="546">+FO40-FO43</f>
        <v>224780</v>
      </c>
      <c r="FP42" s="3">
        <f t="shared" ref="FP42" si="547">+FP40-FP43</f>
        <v>224780</v>
      </c>
      <c r="FQ42" s="3">
        <f t="shared" ref="FQ42" si="548">+FQ40-FQ43</f>
        <v>224780</v>
      </c>
      <c r="FR42" s="3">
        <f t="shared" ref="FR42" si="549">+FR40-FR43</f>
        <v>224780</v>
      </c>
      <c r="FS42" s="3">
        <f t="shared" ref="FS42" si="550">+FS40-FS43</f>
        <v>224780</v>
      </c>
      <c r="FT42" s="3">
        <f>SUM(FH42:FS42)</f>
        <v>2592000</v>
      </c>
      <c r="FU42" s="3">
        <f>+FU40-FU43</f>
        <v>4500</v>
      </c>
      <c r="FV42" s="3">
        <f t="shared" ref="FV42" si="551">+FV40-FV43</f>
        <v>4500</v>
      </c>
      <c r="FW42" s="3">
        <f t="shared" ref="FW42" si="552">+FW40-FW43</f>
        <v>5250</v>
      </c>
      <c r="FX42" s="3">
        <f t="shared" ref="FX42" si="553">+FX40-FX43</f>
        <v>5250</v>
      </c>
      <c r="FY42" s="3">
        <f t="shared" ref="FY42" si="554">+FY40-FY43</f>
        <v>5250</v>
      </c>
      <c r="FZ42" s="3">
        <f t="shared" ref="FZ42" si="555">+FZ40-FZ43</f>
        <v>5372.68</v>
      </c>
      <c r="GA42" s="3">
        <f t="shared" ref="GA42" si="556">+GA40-GA43</f>
        <v>5250</v>
      </c>
      <c r="GB42" s="3">
        <f t="shared" ref="GB42" si="557">+GB40-GB43</f>
        <v>5250</v>
      </c>
      <c r="GC42" s="3">
        <f t="shared" ref="GC42" si="558">+GC40-GC43</f>
        <v>5250</v>
      </c>
      <c r="GD42" s="3">
        <f t="shared" ref="GD42" si="559">+GD40-GD43</f>
        <v>5250</v>
      </c>
      <c r="GE42" s="3">
        <f t="shared" ref="GE42" si="560">+GE40-GE43</f>
        <v>5250</v>
      </c>
      <c r="GF42" s="3">
        <f t="shared" ref="GF42" si="561">+GF40-GF43</f>
        <v>5250</v>
      </c>
      <c r="GG42" s="3">
        <f>SUM(FU42:GF42)</f>
        <v>61622.68</v>
      </c>
      <c r="GH42" s="3">
        <f>+GH40-GH43</f>
        <v>2878</v>
      </c>
      <c r="GI42" s="3">
        <f t="shared" ref="GI42" si="562">+GI40-GI43</f>
        <v>2878</v>
      </c>
      <c r="GJ42" s="3">
        <f t="shared" ref="GJ42" si="563">+GJ40-GJ43</f>
        <v>2878</v>
      </c>
      <c r="GK42" s="3">
        <f t="shared" ref="GK42" si="564">+GK40-GK43</f>
        <v>2878</v>
      </c>
      <c r="GL42" s="3">
        <f t="shared" ref="GL42" si="565">+GL40-GL43</f>
        <v>2878</v>
      </c>
      <c r="GM42" s="3">
        <f t="shared" ref="GM42" si="566">+GM40-GM43</f>
        <v>2878</v>
      </c>
      <c r="GN42" s="3">
        <f t="shared" ref="GN42" si="567">+GN40-GN43</f>
        <v>3023</v>
      </c>
      <c r="GO42" s="3">
        <f t="shared" ref="GO42" si="568">+GO40-GO43</f>
        <v>3023</v>
      </c>
      <c r="GP42" s="3">
        <f t="shared" ref="GP42" si="569">+GP40-GP43</f>
        <v>3023</v>
      </c>
      <c r="GQ42" s="3">
        <f t="shared" ref="GQ42" si="570">+GQ40-GQ43</f>
        <v>3023</v>
      </c>
      <c r="GR42" s="3">
        <f t="shared" ref="GR42" si="571">+GR40-GR43</f>
        <v>3023</v>
      </c>
      <c r="GS42" s="3">
        <f t="shared" ref="GS42" si="572">+GS40-GS43</f>
        <v>3023</v>
      </c>
      <c r="GT42" s="3">
        <f>SUM(GH42:GS42)</f>
        <v>35406</v>
      </c>
      <c r="GU42" s="67">
        <f t="shared" ref="GU42" si="573">+FT42+GG42+GT42</f>
        <v>2689028.68</v>
      </c>
      <c r="GV42" s="3">
        <f>+GV40-GV43</f>
        <v>198270</v>
      </c>
      <c r="GW42" s="3">
        <f t="shared" ref="GW42" si="574">+GW40-GW43</f>
        <v>198270</v>
      </c>
      <c r="GX42" s="3">
        <f t="shared" ref="GX42" si="575">+GX40-GX43</f>
        <v>224520</v>
      </c>
      <c r="GY42" s="3">
        <f t="shared" ref="GY42" si="576">+GY40-GY43</f>
        <v>224520</v>
      </c>
      <c r="GZ42" s="3">
        <f t="shared" ref="GZ42" si="577">+GZ40-GZ43</f>
        <v>224520</v>
      </c>
      <c r="HA42" s="3">
        <f t="shared" ref="HA42" si="578">+HA40-HA43</f>
        <v>224520</v>
      </c>
      <c r="HB42" s="3">
        <f t="shared" ref="HB42" si="579">+HB40-HB43</f>
        <v>232790</v>
      </c>
      <c r="HC42" s="3">
        <f t="shared" ref="HC42" si="580">+HC40-HC43</f>
        <v>232790</v>
      </c>
      <c r="HD42" s="3">
        <f t="shared" ref="HD42" si="581">+HD40-HD43</f>
        <v>232790</v>
      </c>
      <c r="HE42" s="3">
        <f t="shared" ref="HE42" si="582">+HE40-HE43</f>
        <v>232790</v>
      </c>
      <c r="HF42" s="3">
        <f t="shared" ref="HF42" si="583">+HF40-HF43</f>
        <v>232790</v>
      </c>
      <c r="HG42" s="3">
        <f t="shared" ref="HG42" si="584">+HG40-HG43</f>
        <v>232790</v>
      </c>
      <c r="HH42" s="3">
        <f>SUM(GV42:HG42)</f>
        <v>2691360</v>
      </c>
      <c r="HI42" s="3">
        <f>+HI40-HI43</f>
        <v>4500</v>
      </c>
      <c r="HJ42" s="3">
        <f t="shared" ref="HJ42" si="585">+HJ40-HJ43</f>
        <v>4500</v>
      </c>
      <c r="HK42" s="3">
        <f t="shared" ref="HK42" si="586">+HK40-HK43</f>
        <v>5250</v>
      </c>
      <c r="HL42" s="3">
        <f t="shared" ref="HL42" si="587">+HL40-HL43</f>
        <v>5250</v>
      </c>
      <c r="HM42" s="3">
        <f t="shared" ref="HM42" si="588">+HM40-HM43</f>
        <v>5250</v>
      </c>
      <c r="HN42" s="3">
        <f t="shared" ref="HN42" si="589">+HN40-HN43</f>
        <v>5250</v>
      </c>
      <c r="HO42" s="3">
        <f t="shared" ref="HO42" si="590">+HO40-HO43</f>
        <v>5250</v>
      </c>
      <c r="HP42" s="3">
        <f t="shared" ref="HP42" si="591">+HP40-HP43</f>
        <v>5250</v>
      </c>
      <c r="HQ42" s="3">
        <f t="shared" ref="HQ42" si="592">+HQ40-HQ43</f>
        <v>5250</v>
      </c>
      <c r="HR42" s="3">
        <f t="shared" ref="HR42" si="593">+HR40-HR43</f>
        <v>5250</v>
      </c>
      <c r="HS42" s="3">
        <f t="shared" ref="HS42" si="594">+HS40-HS43</f>
        <v>5250</v>
      </c>
      <c r="HT42" s="3">
        <f t="shared" ref="HT42" si="595">+HT40-HT43</f>
        <v>5250</v>
      </c>
      <c r="HU42" s="3">
        <f>SUM(HI42:HT42)</f>
        <v>61500</v>
      </c>
      <c r="HV42" s="3">
        <f>+HV40-HV43</f>
        <v>4831</v>
      </c>
      <c r="HW42" s="3">
        <f t="shared" ref="HW42" si="596">+HW40-HW43</f>
        <v>4831</v>
      </c>
      <c r="HX42" s="3">
        <f t="shared" ref="HX42" si="597">+HX40-HX43</f>
        <v>4831</v>
      </c>
      <c r="HY42" s="3">
        <f t="shared" ref="HY42" si="598">+HY40-HY43</f>
        <v>4831</v>
      </c>
      <c r="HZ42" s="3">
        <f t="shared" ref="HZ42" si="599">+HZ40-HZ43</f>
        <v>5947</v>
      </c>
      <c r="IA42" s="3">
        <f t="shared" ref="IA42" si="600">+IA40-IA43</f>
        <v>5947</v>
      </c>
      <c r="IB42" s="3">
        <f t="shared" ref="IB42" si="601">+IB40-IB43</f>
        <v>6197</v>
      </c>
      <c r="IC42" s="3">
        <f t="shared" ref="IC42" si="602">+IC40-IC43</f>
        <v>6197</v>
      </c>
      <c r="ID42" s="3">
        <f t="shared" ref="ID42" si="603">+ID40-ID43</f>
        <v>6197</v>
      </c>
      <c r="IE42" s="3">
        <f t="shared" ref="IE42" si="604">+IE40-IE43</f>
        <v>6985</v>
      </c>
      <c r="IF42" s="3">
        <f t="shared" ref="IF42" si="605">+IF40-IF43</f>
        <v>6985</v>
      </c>
      <c r="IG42" s="3">
        <f t="shared" ref="IG42" si="606">+IG40-IG43</f>
        <v>6985</v>
      </c>
      <c r="IH42" s="3">
        <f>SUM(HV42:IG42)</f>
        <v>70764</v>
      </c>
      <c r="II42" s="67">
        <f t="shared" ref="II42" si="607">+HH42+HU42+IH42</f>
        <v>2823624</v>
      </c>
      <c r="IJ42" s="3">
        <f>+IJ40-IJ43</f>
        <v>120290</v>
      </c>
      <c r="IK42" s="3">
        <f t="shared" ref="IK42" si="608">+IK40-IK43</f>
        <v>120290</v>
      </c>
      <c r="IL42" s="3">
        <f t="shared" ref="IL42" si="609">+IL40-IL43</f>
        <v>120290</v>
      </c>
      <c r="IM42" s="3">
        <f t="shared" ref="IM42" si="610">+IM40-IM43</f>
        <v>151790</v>
      </c>
      <c r="IN42" s="3">
        <f t="shared" ref="IN42" si="611">+IN40-IN43</f>
        <v>151790</v>
      </c>
      <c r="IO42" s="3">
        <f t="shared" ref="IO42" si="612">+IO40-IO43</f>
        <v>151790</v>
      </c>
      <c r="IP42" s="3">
        <f t="shared" ref="IP42" si="613">+IP40-IP43</f>
        <v>155220</v>
      </c>
      <c r="IQ42" s="3">
        <f t="shared" ref="IQ42" si="614">+IQ40-IQ43</f>
        <v>155220</v>
      </c>
      <c r="IR42" s="3">
        <f t="shared" ref="IR42" si="615">+IR40-IR43</f>
        <v>155220</v>
      </c>
      <c r="IS42" s="3">
        <f t="shared" ref="IS42" si="616">+IS40-IS43</f>
        <v>155220</v>
      </c>
      <c r="IT42" s="3">
        <f t="shared" ref="IT42" si="617">+IT40-IT43</f>
        <v>155220</v>
      </c>
      <c r="IU42" s="3">
        <f t="shared" ref="IU42" si="618">+IU40-IU43</f>
        <v>155220</v>
      </c>
      <c r="IV42" s="3">
        <f>SUM(IJ42:IU42)</f>
        <v>1747560</v>
      </c>
      <c r="IW42" s="3">
        <f>+IW40-IW43</f>
        <v>3000</v>
      </c>
      <c r="IX42" s="3">
        <f t="shared" ref="IX42" si="619">+IX40-IX43</f>
        <v>3000</v>
      </c>
      <c r="IY42" s="3">
        <f t="shared" ref="IY42" si="620">+IY40-IY43</f>
        <v>3000</v>
      </c>
      <c r="IZ42" s="3">
        <f t="shared" ref="IZ42" si="621">+IZ40-IZ43</f>
        <v>3750</v>
      </c>
      <c r="JA42" s="3">
        <f t="shared" ref="JA42" si="622">+JA40-JA43</f>
        <v>3750</v>
      </c>
      <c r="JB42" s="3">
        <f t="shared" ref="JB42" si="623">+JB40-JB43</f>
        <v>3903.35</v>
      </c>
      <c r="JC42" s="3">
        <f t="shared" ref="JC42" si="624">+JC40-JC43</f>
        <v>3750</v>
      </c>
      <c r="JD42" s="3">
        <f t="shared" ref="JD42" si="625">+JD40-JD43</f>
        <v>3750</v>
      </c>
      <c r="JE42" s="3">
        <f t="shared" ref="JE42" si="626">+JE40-JE43</f>
        <v>3750</v>
      </c>
      <c r="JF42" s="3">
        <f t="shared" ref="JF42" si="627">+JF40-JF43</f>
        <v>3750</v>
      </c>
      <c r="JG42" s="3">
        <f t="shared" ref="JG42" si="628">+JG40-JG43</f>
        <v>3750</v>
      </c>
      <c r="JH42" s="3">
        <f t="shared" ref="JH42" si="629">+JH40-JH43</f>
        <v>3750</v>
      </c>
      <c r="JI42" s="3">
        <f>SUM(IW42:JH42)</f>
        <v>42903.35</v>
      </c>
      <c r="JJ42" s="3">
        <f>+JJ40-JJ43</f>
        <v>1734</v>
      </c>
      <c r="JK42" s="3">
        <f t="shared" ref="JK42" si="630">+JK40-JK43</f>
        <v>1734</v>
      </c>
      <c r="JL42" s="3">
        <f t="shared" ref="JL42" si="631">+JL40-JL43</f>
        <v>1734</v>
      </c>
      <c r="JM42" s="3">
        <f t="shared" ref="JM42" si="632">+JM40-JM43</f>
        <v>1734</v>
      </c>
      <c r="JN42" s="3">
        <f t="shared" ref="JN42" si="633">+JN40-JN43</f>
        <v>2679</v>
      </c>
      <c r="JO42" s="3">
        <f t="shared" ref="JO42" si="634">+JO40-JO43</f>
        <v>2679</v>
      </c>
      <c r="JP42" s="3">
        <f t="shared" ref="JP42" si="635">+JP40-JP43</f>
        <v>2765</v>
      </c>
      <c r="JQ42" s="3">
        <f t="shared" ref="JQ42" si="636">+JQ40-JQ43</f>
        <v>2765</v>
      </c>
      <c r="JR42" s="3">
        <f t="shared" ref="JR42" si="637">+JR40-JR43</f>
        <v>2765</v>
      </c>
      <c r="JS42" s="3">
        <f t="shared" ref="JS42" si="638">+JS40-JS43</f>
        <v>2765</v>
      </c>
      <c r="JT42" s="3">
        <f t="shared" ref="JT42" si="639">+JT40-JT43</f>
        <v>3710</v>
      </c>
      <c r="JU42" s="3">
        <f t="shared" ref="JU42" si="640">+JU40-JU43</f>
        <v>3710</v>
      </c>
      <c r="JV42" s="3">
        <f>SUM(JJ42:JU42)</f>
        <v>30774</v>
      </c>
      <c r="JW42" s="67">
        <f t="shared" ref="JW42" si="641">+IV42+JI42+JV42</f>
        <v>1821237.35</v>
      </c>
      <c r="JX42" s="3">
        <f>+JX40-JX43</f>
        <v>127640</v>
      </c>
      <c r="JY42" s="3">
        <f t="shared" ref="JY42" si="642">+JY40-JY43</f>
        <v>127640</v>
      </c>
      <c r="JZ42" s="3">
        <f t="shared" ref="JZ42" si="643">+JZ40-JZ43</f>
        <v>127640</v>
      </c>
      <c r="KA42" s="3">
        <f t="shared" ref="KA42" si="644">+KA40-KA43</f>
        <v>127640</v>
      </c>
      <c r="KB42" s="3">
        <f t="shared" ref="KB42" si="645">+KB40-KB43</f>
        <v>127640</v>
      </c>
      <c r="KC42" s="3">
        <f t="shared" ref="KC42" si="646">+KC40-KC43</f>
        <v>127640</v>
      </c>
      <c r="KD42" s="3">
        <f t="shared" ref="KD42" si="647">+KD40-KD43</f>
        <v>132680</v>
      </c>
      <c r="KE42" s="3">
        <f t="shared" ref="KE42" si="648">+KE40-KE43</f>
        <v>132680</v>
      </c>
      <c r="KF42" s="3">
        <f t="shared" ref="KF42" si="649">+KF40-KF43</f>
        <v>132680</v>
      </c>
      <c r="KG42" s="3">
        <f t="shared" ref="KG42" si="650">+KG40-KG43</f>
        <v>132680</v>
      </c>
      <c r="KH42" s="3">
        <f t="shared" ref="KH42" si="651">+KH40-KH43</f>
        <v>132680</v>
      </c>
      <c r="KI42" s="3">
        <f t="shared" ref="KI42" si="652">+KI40-KI43</f>
        <v>132680</v>
      </c>
      <c r="KJ42" s="3">
        <f>SUM(JX42:KI42)</f>
        <v>1561920</v>
      </c>
      <c r="KK42" s="3">
        <f>+KK40-KK43</f>
        <v>3000</v>
      </c>
      <c r="KL42" s="3">
        <f t="shared" ref="KL42" si="653">+KL40-KL43</f>
        <v>3000</v>
      </c>
      <c r="KM42" s="3">
        <f t="shared" ref="KM42" si="654">+KM40-KM43</f>
        <v>3000</v>
      </c>
      <c r="KN42" s="3">
        <f t="shared" ref="KN42" si="655">+KN40-KN43</f>
        <v>3000</v>
      </c>
      <c r="KO42" s="3">
        <f t="shared" ref="KO42" si="656">+KO40-KO43</f>
        <v>3000</v>
      </c>
      <c r="KP42" s="3">
        <f t="shared" ref="KP42" si="657">+KP40-KP43</f>
        <v>3122.68</v>
      </c>
      <c r="KQ42" s="3">
        <f t="shared" ref="KQ42" si="658">+KQ40-KQ43</f>
        <v>3000</v>
      </c>
      <c r="KR42" s="3">
        <f t="shared" ref="KR42" si="659">+KR40-KR43</f>
        <v>3000</v>
      </c>
      <c r="KS42" s="3">
        <f t="shared" ref="KS42" si="660">+KS40-KS43</f>
        <v>3000</v>
      </c>
      <c r="KT42" s="3">
        <f t="shared" ref="KT42" si="661">+KT40-KT43</f>
        <v>3000</v>
      </c>
      <c r="KU42" s="3">
        <f t="shared" ref="KU42" si="662">+KU40-KU43</f>
        <v>3000</v>
      </c>
      <c r="KV42" s="3">
        <f t="shared" ref="KV42" si="663">+KV40-KV43</f>
        <v>3000</v>
      </c>
      <c r="KW42" s="3">
        <f>SUM(KK42:KV42)</f>
        <v>36122.68</v>
      </c>
      <c r="KX42" s="3">
        <f>+KX40-KX43</f>
        <v>992</v>
      </c>
      <c r="KY42" s="3">
        <f t="shared" ref="KY42" si="664">+KY40-KY43</f>
        <v>992</v>
      </c>
      <c r="KZ42" s="3">
        <f t="shared" ref="KZ42" si="665">+KZ40-KZ43</f>
        <v>992</v>
      </c>
      <c r="LA42" s="3">
        <f t="shared" ref="LA42" si="666">+LA40-LA43</f>
        <v>992</v>
      </c>
      <c r="LB42" s="3">
        <f t="shared" ref="LB42" si="667">+LB40-LB43</f>
        <v>992</v>
      </c>
      <c r="LC42" s="3">
        <f t="shared" ref="LC42" si="668">+LC40-LC43</f>
        <v>992</v>
      </c>
      <c r="LD42" s="3">
        <f t="shared" ref="LD42" si="669">+LD40-LD43</f>
        <v>1031</v>
      </c>
      <c r="LE42" s="3">
        <f t="shared" ref="LE42" si="670">+LE40-LE43</f>
        <v>1031</v>
      </c>
      <c r="LF42" s="3">
        <f t="shared" ref="LF42" si="671">+LF40-LF43</f>
        <v>1031</v>
      </c>
      <c r="LG42" s="3">
        <f t="shared" ref="LG42" si="672">+LG40-LG43</f>
        <v>1031</v>
      </c>
      <c r="LH42" s="3">
        <f t="shared" ref="LH42" si="673">+LH40-LH43</f>
        <v>1031</v>
      </c>
      <c r="LI42" s="3">
        <f t="shared" ref="LI42" si="674">+LI40-LI43</f>
        <v>1031</v>
      </c>
      <c r="LJ42" s="3">
        <f>SUM(KX42:LI42)</f>
        <v>12138</v>
      </c>
      <c r="LK42" s="67">
        <f t="shared" ref="LK42" si="675">+KJ42+KW42+LJ42</f>
        <v>1610180.68</v>
      </c>
      <c r="LL42" s="3">
        <f>+LL40-LL43</f>
        <v>115410</v>
      </c>
      <c r="LM42" s="3">
        <f t="shared" ref="LM42" si="676">+LM40-LM43</f>
        <v>115410</v>
      </c>
      <c r="LN42" s="3">
        <f t="shared" ref="LN42" si="677">+LN40-LN43</f>
        <v>115410</v>
      </c>
      <c r="LO42" s="3">
        <f t="shared" ref="LO42" si="678">+LO40-LO43</f>
        <v>141660</v>
      </c>
      <c r="LP42" s="3">
        <f t="shared" ref="LP42" si="679">+LP40-LP43</f>
        <v>141660</v>
      </c>
      <c r="LQ42" s="3">
        <f t="shared" ref="LQ42" si="680">+LQ40-LQ43</f>
        <v>141660</v>
      </c>
      <c r="LR42" s="3">
        <f t="shared" ref="LR42" si="681">+LR40-LR43</f>
        <v>144200</v>
      </c>
      <c r="LS42" s="3">
        <f t="shared" ref="LS42" si="682">+LS40-LS43</f>
        <v>144200</v>
      </c>
      <c r="LT42" s="3">
        <f t="shared" ref="LT42" si="683">+LT40-LT43</f>
        <v>144200</v>
      </c>
      <c r="LU42" s="3">
        <f t="shared" ref="LU42" si="684">+LU40-LU43</f>
        <v>144200</v>
      </c>
      <c r="LV42" s="3">
        <f t="shared" ref="LV42" si="685">+LV40-LV43</f>
        <v>144200</v>
      </c>
      <c r="LW42" s="3">
        <f t="shared" ref="LW42" si="686">+LW40-LW43</f>
        <v>144200</v>
      </c>
      <c r="LX42" s="3">
        <f>SUM(LL42:LW42)</f>
        <v>1636410</v>
      </c>
      <c r="LY42" s="3">
        <f>+LY40-LY43</f>
        <v>3000</v>
      </c>
      <c r="LZ42" s="3">
        <f t="shared" ref="LZ42" si="687">+LZ40-LZ43</f>
        <v>3000</v>
      </c>
      <c r="MA42" s="3">
        <f t="shared" ref="MA42" si="688">+MA40-MA43</f>
        <v>3000</v>
      </c>
      <c r="MB42" s="3">
        <f t="shared" ref="MB42" si="689">+MB40-MB43</f>
        <v>3750</v>
      </c>
      <c r="MC42" s="3">
        <f t="shared" ref="MC42" si="690">+MC40-MC43</f>
        <v>3750</v>
      </c>
      <c r="MD42" s="3">
        <f t="shared" ref="MD42" si="691">+MD40-MD43</f>
        <v>3903.35</v>
      </c>
      <c r="ME42" s="3">
        <f t="shared" ref="ME42" si="692">+ME40-ME43</f>
        <v>3750</v>
      </c>
      <c r="MF42" s="3">
        <f t="shared" ref="MF42" si="693">+MF40-MF43</f>
        <v>3750</v>
      </c>
      <c r="MG42" s="3">
        <f t="shared" ref="MG42" si="694">+MG40-MG43</f>
        <v>3750</v>
      </c>
      <c r="MH42" s="3">
        <f t="shared" ref="MH42" si="695">+MH40-MH43</f>
        <v>3750</v>
      </c>
      <c r="MI42" s="3">
        <f t="shared" ref="MI42" si="696">+MI40-MI43</f>
        <v>3750</v>
      </c>
      <c r="MJ42" s="3">
        <f t="shared" ref="MJ42" si="697">+MJ40-MJ43</f>
        <v>3750</v>
      </c>
      <c r="MK42" s="3">
        <f>SUM(LY42:MJ42)</f>
        <v>42903.35</v>
      </c>
      <c r="ML42" s="3">
        <f>+ML40-ML43</f>
        <v>3463</v>
      </c>
      <c r="MM42" s="3">
        <f t="shared" ref="MM42" si="698">+MM40-MM43</f>
        <v>3463</v>
      </c>
      <c r="MN42" s="3">
        <f t="shared" ref="MN42" si="699">+MN40-MN43</f>
        <v>3463</v>
      </c>
      <c r="MO42" s="3">
        <f t="shared" ref="MO42" si="700">+MO40-MO43</f>
        <v>3463</v>
      </c>
      <c r="MP42" s="3">
        <f t="shared" ref="MP42" si="701">+MP40-MP43</f>
        <v>3463</v>
      </c>
      <c r="MQ42" s="3">
        <f t="shared" ref="MQ42" si="702">+MQ40-MQ43</f>
        <v>3463</v>
      </c>
      <c r="MR42" s="3">
        <f t="shared" ref="MR42" si="703">+MR40-MR43</f>
        <v>3539</v>
      </c>
      <c r="MS42" s="3">
        <f t="shared" ref="MS42" si="704">+MS40-MS43</f>
        <v>3539</v>
      </c>
      <c r="MT42" s="3">
        <f t="shared" ref="MT42" si="705">+MT40-MT43</f>
        <v>3539</v>
      </c>
      <c r="MU42" s="3">
        <f t="shared" ref="MU42" si="706">+MU40-MU43</f>
        <v>3539</v>
      </c>
      <c r="MV42" s="3">
        <f t="shared" ref="MV42" si="707">+MV40-MV43</f>
        <v>4327</v>
      </c>
      <c r="MW42" s="3">
        <f t="shared" ref="MW42" si="708">+MW40-MW43</f>
        <v>4327</v>
      </c>
      <c r="MX42" s="3">
        <f>SUM(ML42:MW42)</f>
        <v>43588</v>
      </c>
      <c r="MY42" s="67">
        <f t="shared" ref="MY42" si="709">+LX42+MK42+MX42</f>
        <v>1722901.35</v>
      </c>
      <c r="MZ42" s="3">
        <f>+MZ40-MZ43</f>
        <v>1009201.91</v>
      </c>
      <c r="NA42" s="3">
        <f t="shared" ref="NA42" si="710">+NA40-NA43</f>
        <v>967710</v>
      </c>
      <c r="NB42" s="3">
        <f t="shared" ref="NB42" si="711">+NB40-NB43</f>
        <v>967710</v>
      </c>
      <c r="NC42" s="3">
        <f t="shared" ref="NC42" si="712">+NC40-NC43</f>
        <v>967710</v>
      </c>
      <c r="ND42" s="3">
        <f t="shared" ref="ND42" si="713">+ND40-ND43</f>
        <v>967710</v>
      </c>
      <c r="NE42" s="3">
        <f t="shared" ref="NE42" si="714">+NE40-NE43</f>
        <v>967710</v>
      </c>
      <c r="NF42" s="3">
        <f t="shared" ref="NF42" si="715">+NF40-NF43</f>
        <v>976950</v>
      </c>
      <c r="NG42" s="3">
        <f t="shared" ref="NG42" si="716">+NG40-NG43</f>
        <v>1124550</v>
      </c>
      <c r="NH42" s="3">
        <f t="shared" ref="NH42" si="717">+NH40-NH43</f>
        <v>976950</v>
      </c>
      <c r="NI42" s="3">
        <f t="shared" ref="NI42" si="718">+NI40-NI43</f>
        <v>976950</v>
      </c>
      <c r="NJ42" s="3">
        <f t="shared" ref="NJ42" si="719">+NJ40-NJ43</f>
        <v>976950</v>
      </c>
      <c r="NK42" s="3">
        <f t="shared" ref="NK42" si="720">+NK40-NK43</f>
        <v>976950</v>
      </c>
      <c r="NL42" s="3">
        <f>SUM(MZ42:NK42)</f>
        <v>11857051.91</v>
      </c>
      <c r="NM42" s="3">
        <f>+NM40-NM43</f>
        <v>27750</v>
      </c>
      <c r="NN42" s="3">
        <f t="shared" ref="NN42" si="721">+NN40-NN43</f>
        <v>26250</v>
      </c>
      <c r="NO42" s="3">
        <f t="shared" ref="NO42" si="722">+NO40-NO43</f>
        <v>26250</v>
      </c>
      <c r="NP42" s="3">
        <f t="shared" ref="NP42" si="723">+NP40-NP43</f>
        <v>26250</v>
      </c>
      <c r="NQ42" s="3">
        <f t="shared" ref="NQ42" si="724">+NQ40-NQ43</f>
        <v>26250</v>
      </c>
      <c r="NR42" s="3">
        <f t="shared" ref="NR42" si="725">+NR40-NR43</f>
        <v>26556.67</v>
      </c>
      <c r="NS42" s="3">
        <f t="shared" ref="NS42" si="726">+NS40-NS43</f>
        <v>40379.520000000004</v>
      </c>
      <c r="NT42" s="3">
        <f t="shared" ref="NT42" si="727">+NT40-NT43</f>
        <v>25500</v>
      </c>
      <c r="NU42" s="3">
        <f t="shared" ref="NU42" si="728">+NU40-NU43</f>
        <v>25500</v>
      </c>
      <c r="NV42" s="3">
        <f t="shared" ref="NV42" si="729">+NV40-NV43</f>
        <v>25500</v>
      </c>
      <c r="NW42" s="3">
        <f t="shared" ref="NW42" si="730">+NW40-NW43</f>
        <v>25500</v>
      </c>
      <c r="NX42" s="3">
        <f t="shared" ref="NX42" si="731">+NX40-NX43</f>
        <v>25500</v>
      </c>
      <c r="NY42" s="3">
        <f>SUM(NM42:NX42)</f>
        <v>327186.19</v>
      </c>
      <c r="NZ42" s="3">
        <f>+NZ40-NZ43</f>
        <v>19651</v>
      </c>
      <c r="OA42" s="3">
        <f t="shared" ref="OA42" si="732">+OA40-OA43</f>
        <v>19651</v>
      </c>
      <c r="OB42" s="3">
        <f t="shared" ref="OB42" si="733">+OB40-OB43</f>
        <v>19651</v>
      </c>
      <c r="OC42" s="3">
        <f t="shared" ref="OC42" si="734">+OC40-OC43</f>
        <v>19651</v>
      </c>
      <c r="OD42" s="3">
        <f t="shared" ref="OD42" si="735">+OD40-OD43</f>
        <v>19651</v>
      </c>
      <c r="OE42" s="3">
        <f t="shared" ref="OE42" si="736">+OE40-OE43</f>
        <v>19651</v>
      </c>
      <c r="OF42" s="3">
        <f t="shared" ref="OF42" si="737">+OF40-OF43</f>
        <v>23025</v>
      </c>
      <c r="OG42" s="3">
        <f t="shared" ref="OG42" si="738">+OG40-OG43</f>
        <v>26220</v>
      </c>
      <c r="OH42" s="3">
        <f t="shared" ref="OH42" si="739">+OH40-OH43</f>
        <v>22080</v>
      </c>
      <c r="OI42" s="3">
        <f t="shared" ref="OI42" si="740">+OI40-OI43</f>
        <v>22080</v>
      </c>
      <c r="OJ42" s="3">
        <f t="shared" ref="OJ42" si="741">+OJ40-OJ43</f>
        <v>22080</v>
      </c>
      <c r="OK42" s="3">
        <f t="shared" ref="OK42" si="742">+OK40-OK43</f>
        <v>21318</v>
      </c>
      <c r="OL42" s="3">
        <f>SUM(NZ42:OK42)</f>
        <v>254709</v>
      </c>
      <c r="OM42" s="67">
        <f t="shared" ref="OM42" si="743">+NL42+NY42+OL42</f>
        <v>12438947.1</v>
      </c>
      <c r="ON42" s="3">
        <f>+ON40-ON43</f>
        <v>11200</v>
      </c>
      <c r="OO42" s="3">
        <f t="shared" ref="OO42" si="744">+OO40-OO43</f>
        <v>11200</v>
      </c>
      <c r="OP42" s="3">
        <f t="shared" ref="OP42" si="745">+OP40-OP43</f>
        <v>11200</v>
      </c>
      <c r="OQ42" s="3">
        <f t="shared" ref="OQ42" si="746">+OQ40-OQ43</f>
        <v>11200</v>
      </c>
      <c r="OR42" s="3">
        <f t="shared" ref="OR42" si="747">+OR40-OR43</f>
        <v>11200</v>
      </c>
      <c r="OS42" s="3">
        <f t="shared" ref="OS42" si="748">+OS40-OS43</f>
        <v>74293.33</v>
      </c>
      <c r="OT42" s="3">
        <f t="shared" ref="OT42" si="749">+OT40-OT43</f>
        <v>11200</v>
      </c>
      <c r="OU42" s="3">
        <f t="shared" ref="OU42" si="750">+OU40-OU43</f>
        <v>11200</v>
      </c>
      <c r="OV42" s="3">
        <f t="shared" ref="OV42" si="751">+OV40-OV43</f>
        <v>11200</v>
      </c>
      <c r="OW42" s="3">
        <f t="shared" ref="OW42" si="752">+OW40-OW43</f>
        <v>11200</v>
      </c>
      <c r="OX42" s="3">
        <f t="shared" ref="OX42" si="753">+OX40-OX43</f>
        <v>11200</v>
      </c>
      <c r="OY42" s="3">
        <f t="shared" ref="OY42" si="754">+OY40-OY43</f>
        <v>11200</v>
      </c>
      <c r="OZ42" s="3">
        <f>SUM(ON42:OY42)</f>
        <v>197493.33000000002</v>
      </c>
      <c r="PA42" s="82">
        <f>+AQ42+CE42+DS42+FG42+GU42+II42+JW42+LK42+MY42+OM42+OZ42</f>
        <v>29583293.469999999</v>
      </c>
    </row>
    <row r="43" spans="1:418" hidden="1" x14ac:dyDescent="0.35">
      <c r="A43" s="71" t="s">
        <v>297</v>
      </c>
      <c r="D43" s="3">
        <v>26250</v>
      </c>
      <c r="J43" s="3">
        <v>38760</v>
      </c>
      <c r="P43" s="3">
        <f t="shared" ref="P43:P46" si="755">SUM(D43:O43)</f>
        <v>65010</v>
      </c>
      <c r="Q43" s="3">
        <v>750</v>
      </c>
      <c r="AC43" s="3">
        <f t="shared" ref="AC43:AC46" si="756">SUM(Q43:AB43)</f>
        <v>750</v>
      </c>
      <c r="AD43" s="3">
        <v>0</v>
      </c>
      <c r="AJ43" s="3">
        <v>876</v>
      </c>
      <c r="AP43" s="3">
        <f t="shared" ref="AP43:AP46" si="757">SUM(AD43:AO43)</f>
        <v>876</v>
      </c>
      <c r="AQ43" s="67">
        <f>+P43+AC43+AP43</f>
        <v>66636</v>
      </c>
      <c r="AX43" s="3">
        <v>35760</v>
      </c>
      <c r="BX43" s="3">
        <v>816</v>
      </c>
      <c r="CL43" s="3">
        <v>17520</v>
      </c>
      <c r="DL43" s="3">
        <v>368</v>
      </c>
      <c r="DZ43" s="3">
        <v>29760</v>
      </c>
      <c r="FJ43" s="3">
        <v>12600</v>
      </c>
      <c r="FN43" s="3">
        <f>18900+23460</f>
        <v>42360</v>
      </c>
      <c r="FW43" s="3">
        <v>630</v>
      </c>
      <c r="GN43" s="3">
        <f>564+300</f>
        <v>864</v>
      </c>
      <c r="GX43" s="3">
        <v>20125</v>
      </c>
      <c r="HB43" s="3">
        <v>49620</v>
      </c>
      <c r="HK43" s="3">
        <v>750</v>
      </c>
      <c r="IB43" s="3">
        <v>1276</v>
      </c>
      <c r="IM43" s="3">
        <v>29467.74</v>
      </c>
      <c r="IP43" s="3">
        <v>20580</v>
      </c>
      <c r="IZ43" s="3">
        <v>750</v>
      </c>
      <c r="JP43" s="3">
        <v>510</v>
      </c>
      <c r="KD43" s="3">
        <v>30240</v>
      </c>
      <c r="LD43" s="3">
        <v>240</v>
      </c>
      <c r="LO43" s="3">
        <v>24556.45</v>
      </c>
      <c r="LR43" s="3">
        <v>15240</v>
      </c>
      <c r="LW43" s="3">
        <v>5927.42</v>
      </c>
      <c r="MB43" s="3">
        <v>750</v>
      </c>
      <c r="MJ43" s="3">
        <v>179</v>
      </c>
      <c r="MR43" s="3">
        <v>456</v>
      </c>
      <c r="NF43" s="3">
        <f>35160+70140</f>
        <v>105300</v>
      </c>
      <c r="OF43" s="3">
        <f>432+1008</f>
        <v>1440</v>
      </c>
      <c r="PA43" s="82">
        <f t="shared" ref="PA43:PA46" si="758">+AQ43+CE43+DS43+FG43+GU43+II43+JW43+LK43+MY43+OM43+OZ43</f>
        <v>66636</v>
      </c>
    </row>
    <row r="44" spans="1:418" hidden="1" x14ac:dyDescent="0.35">
      <c r="A44" s="1" t="s">
        <v>302</v>
      </c>
      <c r="P44" s="3">
        <f t="shared" si="755"/>
        <v>0</v>
      </c>
      <c r="AC44" s="3">
        <f t="shared" si="756"/>
        <v>0</v>
      </c>
      <c r="AP44" s="3">
        <f t="shared" si="757"/>
        <v>0</v>
      </c>
      <c r="AQ44" s="67">
        <f t="shared" si="59"/>
        <v>0</v>
      </c>
      <c r="PA44" s="82">
        <f t="shared" si="758"/>
        <v>0</v>
      </c>
    </row>
    <row r="45" spans="1:418" hidden="1" x14ac:dyDescent="0.35">
      <c r="A45" s="1" t="s">
        <v>298</v>
      </c>
      <c r="P45" s="3">
        <f t="shared" si="755"/>
        <v>0</v>
      </c>
      <c r="AC45" s="3">
        <f t="shared" si="756"/>
        <v>0</v>
      </c>
      <c r="AP45" s="3">
        <f t="shared" si="757"/>
        <v>0</v>
      </c>
      <c r="AQ45" s="67">
        <f t="shared" si="59"/>
        <v>0</v>
      </c>
      <c r="MZ45" s="3">
        <v>41491.910000000003</v>
      </c>
      <c r="NG45" s="3">
        <f>68820+49440+14760+14580</f>
        <v>147600</v>
      </c>
      <c r="NM45" s="3">
        <v>1500</v>
      </c>
      <c r="OF45" s="3">
        <v>945</v>
      </c>
      <c r="OG45" s="3">
        <f>2070+1188+444+438</f>
        <v>4140</v>
      </c>
      <c r="OS45" s="3">
        <f>29493.33+16800+16800</f>
        <v>63093.33</v>
      </c>
      <c r="PA45" s="82">
        <f t="shared" si="758"/>
        <v>0</v>
      </c>
    </row>
    <row r="46" spans="1:418" hidden="1" x14ac:dyDescent="0.35">
      <c r="A46" s="1" t="s">
        <v>364</v>
      </c>
      <c r="P46" s="3">
        <f t="shared" si="755"/>
        <v>0</v>
      </c>
      <c r="AC46" s="3">
        <f t="shared" si="756"/>
        <v>0</v>
      </c>
      <c r="AP46" s="3">
        <f t="shared" si="757"/>
        <v>0</v>
      </c>
      <c r="AQ46" s="67">
        <f t="shared" si="59"/>
        <v>0</v>
      </c>
      <c r="CX46" s="3">
        <v>61.34</v>
      </c>
      <c r="EL46" s="3">
        <v>30.67</v>
      </c>
      <c r="FZ46" s="3">
        <v>122.68</v>
      </c>
      <c r="JB46" s="3">
        <v>153.35</v>
      </c>
      <c r="KP46" s="3">
        <v>122.68</v>
      </c>
      <c r="MD46" s="3">
        <v>153.35</v>
      </c>
      <c r="NR46" s="3">
        <v>306.67</v>
      </c>
      <c r="NS46" s="3">
        <f>960+13919.52</f>
        <v>14879.52</v>
      </c>
      <c r="PA46" s="82">
        <f t="shared" si="758"/>
        <v>0</v>
      </c>
    </row>
    <row r="47" spans="1:418" hidden="1" x14ac:dyDescent="0.35">
      <c r="A47" s="53" t="s">
        <v>115</v>
      </c>
      <c r="D47" s="3">
        <f>SUM(D42:D46)</f>
        <v>155040</v>
      </c>
      <c r="E47" s="3">
        <f t="shared" ref="E47:O47" si="759">SUM(E42:E46)</f>
        <v>155040</v>
      </c>
      <c r="F47" s="3">
        <f t="shared" si="759"/>
        <v>155040</v>
      </c>
      <c r="G47" s="3">
        <f t="shared" si="759"/>
        <v>125590.97</v>
      </c>
      <c r="H47" s="3">
        <f t="shared" si="759"/>
        <v>155040</v>
      </c>
      <c r="I47" s="3">
        <f t="shared" si="759"/>
        <v>155040</v>
      </c>
      <c r="J47" s="3">
        <f t="shared" si="759"/>
        <v>200260</v>
      </c>
      <c r="K47" s="3">
        <f t="shared" si="759"/>
        <v>161500</v>
      </c>
      <c r="L47" s="3">
        <f t="shared" si="759"/>
        <v>161500</v>
      </c>
      <c r="M47" s="3">
        <f t="shared" si="759"/>
        <v>161500</v>
      </c>
      <c r="N47" s="3">
        <f t="shared" si="759"/>
        <v>161500</v>
      </c>
      <c r="O47" s="3">
        <f t="shared" si="759"/>
        <v>161500</v>
      </c>
      <c r="P47" s="3">
        <f>SUM(P42:P46)</f>
        <v>1908550.97</v>
      </c>
      <c r="Q47" s="3">
        <f>SUM(Q42:Q46)</f>
        <v>3750</v>
      </c>
      <c r="R47" s="3">
        <f t="shared" ref="R47" si="760">SUM(R42:R46)</f>
        <v>3750</v>
      </c>
      <c r="S47" s="3">
        <f t="shared" ref="S47" si="761">SUM(S42:S46)</f>
        <v>3750</v>
      </c>
      <c r="T47" s="3">
        <f t="shared" ref="T47" si="762">SUM(T42:T46)</f>
        <v>3102</v>
      </c>
      <c r="U47" s="3">
        <f t="shared" ref="U47" si="763">SUM(U42:U46)</f>
        <v>3750</v>
      </c>
      <c r="V47" s="3">
        <f t="shared" ref="V47" si="764">SUM(V42:V46)</f>
        <v>3750</v>
      </c>
      <c r="W47" s="3">
        <f t="shared" ref="W47" si="765">SUM(W42:W46)</f>
        <v>3750</v>
      </c>
      <c r="X47" s="3">
        <f t="shared" ref="X47" si="766">SUM(X42:X46)</f>
        <v>3750</v>
      </c>
      <c r="Y47" s="3">
        <f t="shared" ref="Y47" si="767">SUM(Y42:Y46)</f>
        <v>3750</v>
      </c>
      <c r="Z47" s="3">
        <f t="shared" ref="Z47" si="768">SUM(Z42:Z46)</f>
        <v>3750</v>
      </c>
      <c r="AA47" s="3">
        <f t="shared" ref="AA47" si="769">SUM(AA42:AA46)</f>
        <v>3750</v>
      </c>
      <c r="AB47" s="3">
        <f t="shared" ref="AB47" si="770">SUM(AB42:AB46)</f>
        <v>3750</v>
      </c>
      <c r="AC47" s="3">
        <f>SUM(AC42:AC46)</f>
        <v>44352</v>
      </c>
      <c r="AD47" s="3">
        <f>SUM(AD42:AD46)</f>
        <v>2919</v>
      </c>
      <c r="AE47" s="3">
        <f t="shared" ref="AE47" si="771">SUM(AE42:AE46)</f>
        <v>2919</v>
      </c>
      <c r="AF47" s="3">
        <f t="shared" ref="AF47" si="772">SUM(AF42:AF46)</f>
        <v>2919</v>
      </c>
      <c r="AG47" s="3">
        <f t="shared" ref="AG47" si="773">SUM(AG42:AG46)</f>
        <v>2919</v>
      </c>
      <c r="AH47" s="3">
        <f t="shared" ref="AH47" si="774">SUM(AH42:AH46)</f>
        <v>2919</v>
      </c>
      <c r="AI47" s="3">
        <f t="shared" ref="AI47" si="775">SUM(AI42:AI46)</f>
        <v>2919</v>
      </c>
      <c r="AJ47" s="3">
        <f t="shared" ref="AJ47" si="776">SUM(AJ42:AJ46)</f>
        <v>3943</v>
      </c>
      <c r="AK47" s="3">
        <f t="shared" ref="AK47" si="777">SUM(AK42:AK46)</f>
        <v>3067</v>
      </c>
      <c r="AL47" s="3">
        <f t="shared" ref="AL47" si="778">SUM(AL42:AL46)</f>
        <v>3067</v>
      </c>
      <c r="AM47" s="3">
        <f t="shared" ref="AM47" si="779">SUM(AM42:AM46)</f>
        <v>3067</v>
      </c>
      <c r="AN47" s="3">
        <f t="shared" ref="AN47" si="780">SUM(AN42:AN46)</f>
        <v>3067</v>
      </c>
      <c r="AO47" s="3">
        <f t="shared" ref="AO47" si="781">SUM(AO42:AO46)</f>
        <v>3067</v>
      </c>
      <c r="AP47" s="3">
        <f t="shared" ref="AP47" si="782">SUM(AP42:AP46)</f>
        <v>36792</v>
      </c>
      <c r="AQ47" s="67">
        <f>+P47+AC47+AP47</f>
        <v>1989694.97</v>
      </c>
      <c r="AR47" s="3">
        <f>SUM(AR42:AR46)</f>
        <v>145710</v>
      </c>
      <c r="AS47" s="3">
        <f t="shared" ref="AS47" si="783">SUM(AS42:AS46)</f>
        <v>145710</v>
      </c>
      <c r="AT47" s="3">
        <f t="shared" ref="AT47" si="784">SUM(AT42:AT46)</f>
        <v>145710</v>
      </c>
      <c r="AU47" s="3">
        <f t="shared" ref="AU47" si="785">SUM(AU42:AU46)</f>
        <v>145710</v>
      </c>
      <c r="AV47" s="3">
        <f t="shared" ref="AV47" si="786">SUM(AV42:AV46)</f>
        <v>145710</v>
      </c>
      <c r="AW47" s="3">
        <f t="shared" ref="AW47" si="787">SUM(AW42:AW46)</f>
        <v>145710</v>
      </c>
      <c r="AX47" s="3">
        <f t="shared" ref="AX47" si="788">SUM(AX42:AX46)</f>
        <v>187430</v>
      </c>
      <c r="AY47" s="3">
        <f t="shared" ref="AY47" si="789">SUM(AY42:AY46)</f>
        <v>151670</v>
      </c>
      <c r="AZ47" s="3">
        <f t="shared" ref="AZ47" si="790">SUM(AZ42:AZ46)</f>
        <v>151670</v>
      </c>
      <c r="BA47" s="3">
        <f t="shared" ref="BA47" si="791">SUM(BA42:BA46)</f>
        <v>151670</v>
      </c>
      <c r="BB47" s="3">
        <f t="shared" ref="BB47" si="792">SUM(BB42:BB46)</f>
        <v>151670</v>
      </c>
      <c r="BC47" s="3">
        <f t="shared" ref="BC47" si="793">SUM(BC42:BC46)</f>
        <v>151670</v>
      </c>
      <c r="BD47" s="3">
        <f>SUM(BD42:BD46)</f>
        <v>1784280</v>
      </c>
      <c r="BE47" s="3">
        <f>SUM(BE42:BE46)</f>
        <v>3750</v>
      </c>
      <c r="BF47" s="3">
        <f t="shared" ref="BF47" si="794">SUM(BF42:BF46)</f>
        <v>3750</v>
      </c>
      <c r="BG47" s="3">
        <f t="shared" ref="BG47" si="795">SUM(BG42:BG46)</f>
        <v>3750</v>
      </c>
      <c r="BH47" s="3">
        <f t="shared" ref="BH47" si="796">SUM(BH42:BH46)</f>
        <v>3750</v>
      </c>
      <c r="BI47" s="3">
        <f t="shared" ref="BI47" si="797">SUM(BI42:BI46)</f>
        <v>3750</v>
      </c>
      <c r="BJ47" s="3">
        <f t="shared" ref="BJ47" si="798">SUM(BJ42:BJ46)</f>
        <v>3750</v>
      </c>
      <c r="BK47" s="3">
        <f t="shared" ref="BK47" si="799">SUM(BK42:BK46)</f>
        <v>3750</v>
      </c>
      <c r="BL47" s="3">
        <f t="shared" ref="BL47" si="800">SUM(BL42:BL46)</f>
        <v>3750</v>
      </c>
      <c r="BM47" s="3">
        <f t="shared" ref="BM47" si="801">SUM(BM42:BM46)</f>
        <v>3750</v>
      </c>
      <c r="BN47" s="3">
        <f t="shared" ref="BN47" si="802">SUM(BN42:BN46)</f>
        <v>3750</v>
      </c>
      <c r="BO47" s="3">
        <f t="shared" ref="BO47" si="803">SUM(BO42:BO46)</f>
        <v>3750</v>
      </c>
      <c r="BP47" s="3">
        <f t="shared" ref="BP47" si="804">SUM(BP42:BP46)</f>
        <v>3750</v>
      </c>
      <c r="BQ47" s="3">
        <f t="shared" ref="BQ47" si="805">SUM(BQ42:BQ46)</f>
        <v>45000</v>
      </c>
      <c r="BR47" s="3">
        <f>SUM(BR42:BR46)</f>
        <v>2740</v>
      </c>
      <c r="BS47" s="3">
        <f t="shared" ref="BS47" si="806">SUM(BS42:BS46)</f>
        <v>2740</v>
      </c>
      <c r="BT47" s="3">
        <f t="shared" ref="BT47" si="807">SUM(BT42:BT46)</f>
        <v>2740</v>
      </c>
      <c r="BU47" s="3">
        <f t="shared" ref="BU47" si="808">SUM(BU42:BU46)</f>
        <v>2740</v>
      </c>
      <c r="BV47" s="3">
        <f t="shared" ref="BV47" si="809">SUM(BV42:BV46)</f>
        <v>2740</v>
      </c>
      <c r="BW47" s="3">
        <f t="shared" ref="BW47" si="810">SUM(BW42:BW46)</f>
        <v>2740</v>
      </c>
      <c r="BX47" s="3">
        <f t="shared" ref="BX47" si="811">SUM(BX42:BX46)</f>
        <v>3692</v>
      </c>
      <c r="BY47" s="3">
        <f t="shared" ref="BY47" si="812">SUM(BY42:BY46)</f>
        <v>2876</v>
      </c>
      <c r="BZ47" s="3">
        <f t="shared" ref="BZ47" si="813">SUM(BZ42:BZ46)</f>
        <v>2876</v>
      </c>
      <c r="CA47" s="3">
        <f t="shared" ref="CA47" si="814">SUM(CA42:CA46)</f>
        <v>2876</v>
      </c>
      <c r="CB47" s="3">
        <f t="shared" ref="CB47" si="815">SUM(CB42:CB46)</f>
        <v>2876</v>
      </c>
      <c r="CC47" s="3">
        <f t="shared" ref="CC47" si="816">SUM(CC42:CC46)</f>
        <v>2876</v>
      </c>
      <c r="CD47" s="3">
        <f t="shared" ref="CD47" si="817">SUM(CD42:CD46)</f>
        <v>33696</v>
      </c>
      <c r="CE47" s="67">
        <f t="shared" ref="CE47" si="818">+BD47+BQ47+CD47</f>
        <v>1862976</v>
      </c>
      <c r="CF47" s="3">
        <f>SUM(CF42:CF46)</f>
        <v>65640</v>
      </c>
      <c r="CG47" s="3">
        <f t="shared" ref="CG47" si="819">SUM(CG42:CG46)</f>
        <v>65640</v>
      </c>
      <c r="CH47" s="3">
        <f t="shared" ref="CH47" si="820">SUM(CH42:CH46)</f>
        <v>65640</v>
      </c>
      <c r="CI47" s="3">
        <f t="shared" ref="CI47" si="821">SUM(CI42:CI46)</f>
        <v>65640</v>
      </c>
      <c r="CJ47" s="3">
        <f t="shared" ref="CJ47" si="822">SUM(CJ42:CJ46)</f>
        <v>65640</v>
      </c>
      <c r="CK47" s="3">
        <f t="shared" ref="CK47" si="823">SUM(CK42:CK46)</f>
        <v>65640</v>
      </c>
      <c r="CL47" s="3">
        <f t="shared" ref="CL47" si="824">SUM(CL42:CL46)</f>
        <v>86080</v>
      </c>
      <c r="CM47" s="3">
        <f t="shared" ref="CM47" si="825">SUM(CM42:CM46)</f>
        <v>68560</v>
      </c>
      <c r="CN47" s="3">
        <f t="shared" ref="CN47" si="826">SUM(CN42:CN46)</f>
        <v>68560</v>
      </c>
      <c r="CO47" s="3">
        <f t="shared" ref="CO47" si="827">SUM(CO42:CO46)</f>
        <v>68560</v>
      </c>
      <c r="CP47" s="3">
        <f t="shared" ref="CP47" si="828">SUM(CP42:CP46)</f>
        <v>68560</v>
      </c>
      <c r="CQ47" s="3">
        <f t="shared" ref="CQ47" si="829">SUM(CQ42:CQ46)</f>
        <v>68560</v>
      </c>
      <c r="CR47" s="3">
        <f t="shared" ref="CR47" si="830">SUM(CR42:CR46)</f>
        <v>805200</v>
      </c>
      <c r="CS47" s="3">
        <f>SUM(CS42:CS46)</f>
        <v>1500</v>
      </c>
      <c r="CT47" s="3">
        <f t="shared" ref="CT47" si="831">SUM(CT42:CT46)</f>
        <v>1500</v>
      </c>
      <c r="CU47" s="3">
        <f t="shared" ref="CU47" si="832">SUM(CU42:CU46)</f>
        <v>1500</v>
      </c>
      <c r="CV47" s="3">
        <f t="shared" ref="CV47" si="833">SUM(CV42:CV46)</f>
        <v>1500</v>
      </c>
      <c r="CW47" s="3">
        <f t="shared" ref="CW47" si="834">SUM(CW42:CW46)</f>
        <v>1500</v>
      </c>
      <c r="CX47" s="3">
        <f t="shared" ref="CX47" si="835">SUM(CX42:CX46)</f>
        <v>1622.6799999999998</v>
      </c>
      <c r="CY47" s="3">
        <f t="shared" ref="CY47" si="836">SUM(CY42:CY46)</f>
        <v>1500</v>
      </c>
      <c r="CZ47" s="3">
        <f t="shared" ref="CZ47" si="837">SUM(CZ42:CZ46)</f>
        <v>1500</v>
      </c>
      <c r="DA47" s="3">
        <f t="shared" ref="DA47" si="838">SUM(DA42:DA46)</f>
        <v>1500</v>
      </c>
      <c r="DB47" s="3">
        <f t="shared" ref="DB47" si="839">SUM(DB42:DB46)</f>
        <v>1500</v>
      </c>
      <c r="DC47" s="3">
        <f t="shared" ref="DC47" si="840">SUM(DC42:DC46)</f>
        <v>1500</v>
      </c>
      <c r="DD47" s="3">
        <f t="shared" ref="DD47" si="841">SUM(DD42:DD46)</f>
        <v>1500</v>
      </c>
      <c r="DE47" s="3">
        <f t="shared" ref="DE47" si="842">SUM(DE42:DE46)</f>
        <v>18061.34</v>
      </c>
      <c r="DF47" s="3">
        <f>SUM(DF42:DF46)</f>
        <v>980</v>
      </c>
      <c r="DG47" s="3">
        <f t="shared" ref="DG47" si="843">SUM(DG42:DG46)</f>
        <v>980</v>
      </c>
      <c r="DH47" s="3">
        <f t="shared" ref="DH47" si="844">SUM(DH42:DH46)</f>
        <v>980</v>
      </c>
      <c r="DI47" s="3">
        <f t="shared" ref="DI47" si="845">SUM(DI42:DI46)</f>
        <v>980</v>
      </c>
      <c r="DJ47" s="3">
        <f t="shared" ref="DJ47" si="846">SUM(DJ42:DJ46)</f>
        <v>1969</v>
      </c>
      <c r="DK47" s="3">
        <f t="shared" ref="DK47" si="847">SUM(DK42:DK46)</f>
        <v>1969</v>
      </c>
      <c r="DL47" s="3">
        <f t="shared" ref="DL47" si="848">SUM(DL42:DL46)</f>
        <v>2424</v>
      </c>
      <c r="DM47" s="3">
        <f t="shared" ref="DM47" si="849">SUM(DM42:DM46)</f>
        <v>2056</v>
      </c>
      <c r="DN47" s="3">
        <f t="shared" ref="DN47" si="850">SUM(DN42:DN46)</f>
        <v>2056</v>
      </c>
      <c r="DO47" s="3">
        <f t="shared" ref="DO47" si="851">SUM(DO42:DO46)</f>
        <v>2056</v>
      </c>
      <c r="DP47" s="3">
        <f t="shared" ref="DP47" si="852">SUM(DP42:DP46)</f>
        <v>2056</v>
      </c>
      <c r="DQ47" s="3">
        <f t="shared" ref="DQ47" si="853">SUM(DQ42:DQ46)</f>
        <v>2056</v>
      </c>
      <c r="DR47" s="3">
        <f t="shared" ref="DR47" si="854">SUM(DR42:DR46)</f>
        <v>20194</v>
      </c>
      <c r="DS47" s="67">
        <f t="shared" ref="DS47" si="855">+CR47+DE47+DR47</f>
        <v>843455.34</v>
      </c>
      <c r="DT47" s="3">
        <f>SUM(DT42:DT46)</f>
        <v>132050</v>
      </c>
      <c r="DU47" s="3">
        <f t="shared" ref="DU47" si="856">SUM(DU42:DU46)</f>
        <v>132050</v>
      </c>
      <c r="DV47" s="3">
        <f t="shared" ref="DV47" si="857">SUM(DV42:DV46)</f>
        <v>132050</v>
      </c>
      <c r="DW47" s="3">
        <f t="shared" ref="DW47" si="858">SUM(DW42:DW46)</f>
        <v>132050</v>
      </c>
      <c r="DX47" s="3">
        <f t="shared" ref="DX47" si="859">SUM(DX42:DX46)</f>
        <v>132050</v>
      </c>
      <c r="DY47" s="3">
        <f t="shared" ref="DY47" si="860">SUM(DY42:DY46)</f>
        <v>132050</v>
      </c>
      <c r="DZ47" s="3">
        <f t="shared" ref="DZ47" si="861">SUM(DZ42:DZ46)</f>
        <v>166770</v>
      </c>
      <c r="EA47" s="3">
        <f t="shared" ref="EA47" si="862">SUM(EA42:EA46)</f>
        <v>137010</v>
      </c>
      <c r="EB47" s="3">
        <f t="shared" ref="EB47" si="863">SUM(EB42:EB46)</f>
        <v>137010</v>
      </c>
      <c r="EC47" s="3">
        <f t="shared" ref="EC47" si="864">SUM(EC42:EC46)</f>
        <v>137010</v>
      </c>
      <c r="ED47" s="3">
        <f t="shared" ref="ED47" si="865">SUM(ED42:ED46)</f>
        <v>137010</v>
      </c>
      <c r="EE47" s="3">
        <f t="shared" ref="EE47" si="866">SUM(EE42:EE46)</f>
        <v>137010</v>
      </c>
      <c r="EF47" s="3">
        <f t="shared" ref="EF47" si="867">SUM(EF42:EF46)</f>
        <v>1614360</v>
      </c>
      <c r="EG47" s="3">
        <f>SUM(EG42:EG46)</f>
        <v>3000</v>
      </c>
      <c r="EH47" s="3">
        <f t="shared" ref="EH47" si="868">SUM(EH42:EH46)</f>
        <v>3000</v>
      </c>
      <c r="EI47" s="3">
        <f t="shared" ref="EI47" si="869">SUM(EI42:EI46)</f>
        <v>3000</v>
      </c>
      <c r="EJ47" s="3">
        <f t="shared" ref="EJ47" si="870">SUM(EJ42:EJ46)</f>
        <v>3000</v>
      </c>
      <c r="EK47" s="3">
        <f t="shared" ref="EK47" si="871">SUM(EK42:EK46)</f>
        <v>3000</v>
      </c>
      <c r="EL47" s="3">
        <f t="shared" ref="EL47" si="872">SUM(EL42:EL46)</f>
        <v>3061.34</v>
      </c>
      <c r="EM47" s="3">
        <f t="shared" ref="EM47" si="873">SUM(EM42:EM46)</f>
        <v>3000</v>
      </c>
      <c r="EN47" s="3">
        <f t="shared" ref="EN47" si="874">SUM(EN42:EN46)</f>
        <v>3000</v>
      </c>
      <c r="EO47" s="3">
        <f t="shared" ref="EO47" si="875">SUM(EO42:EO46)</f>
        <v>3000</v>
      </c>
      <c r="EP47" s="3">
        <f t="shared" ref="EP47" si="876">SUM(EP42:EP46)</f>
        <v>3000</v>
      </c>
      <c r="EQ47" s="3">
        <f t="shared" ref="EQ47" si="877">SUM(EQ42:EQ46)</f>
        <v>3000</v>
      </c>
      <c r="ER47" s="3">
        <f t="shared" ref="ER47" si="878">SUM(ER42:ER46)</f>
        <v>3000</v>
      </c>
      <c r="ES47" s="3">
        <f t="shared" ref="ES47" si="879">SUM(ES42:ES46)</f>
        <v>36030.67</v>
      </c>
      <c r="ET47" s="3">
        <f>SUM(ET42:ET46)</f>
        <v>0</v>
      </c>
      <c r="EU47" s="3">
        <f t="shared" ref="EU47" si="880">SUM(EU42:EU46)</f>
        <v>0</v>
      </c>
      <c r="EV47" s="3">
        <f t="shared" ref="EV47" si="881">SUM(EV42:EV46)</f>
        <v>0</v>
      </c>
      <c r="EW47" s="3">
        <f t="shared" ref="EW47" si="882">SUM(EW42:EW46)</f>
        <v>0</v>
      </c>
      <c r="EX47" s="3">
        <f t="shared" ref="EX47" si="883">SUM(EX42:EX46)</f>
        <v>0</v>
      </c>
      <c r="EY47" s="3">
        <f t="shared" ref="EY47" si="884">SUM(EY42:EY46)</f>
        <v>0</v>
      </c>
      <c r="EZ47" s="3">
        <f t="shared" ref="EZ47" si="885">SUM(EZ42:EZ46)</f>
        <v>0</v>
      </c>
      <c r="FA47" s="3">
        <f t="shared" ref="FA47" si="886">SUM(FA42:FA46)</f>
        <v>0</v>
      </c>
      <c r="FB47" s="3">
        <f t="shared" ref="FB47" si="887">SUM(FB42:FB46)</f>
        <v>0</v>
      </c>
      <c r="FC47" s="3">
        <f t="shared" ref="FC47" si="888">SUM(FC42:FC46)</f>
        <v>0</v>
      </c>
      <c r="FD47" s="3">
        <f t="shared" ref="FD47" si="889">SUM(FD42:FD46)</f>
        <v>0</v>
      </c>
      <c r="FE47" s="3">
        <f t="shared" ref="FE47" si="890">SUM(FE42:FE46)</f>
        <v>0</v>
      </c>
      <c r="FF47" s="3">
        <f t="shared" ref="FF47" si="891">SUM(FF42:FF46)</f>
        <v>0</v>
      </c>
      <c r="FG47" s="67">
        <f t="shared" ref="FG47" si="892">+EF47+ES47+FF47</f>
        <v>1650390.67</v>
      </c>
      <c r="FH47" s="3">
        <f>SUM(FH42:FH46)</f>
        <v>186220</v>
      </c>
      <c r="FI47" s="3">
        <f t="shared" ref="FI47" si="893">SUM(FI42:FI46)</f>
        <v>186220</v>
      </c>
      <c r="FJ47" s="3">
        <f t="shared" ref="FJ47" si="894">SUM(FJ42:FJ46)</f>
        <v>230320</v>
      </c>
      <c r="FK47" s="3">
        <f t="shared" ref="FK47" si="895">SUM(FK42:FK46)</f>
        <v>217720</v>
      </c>
      <c r="FL47" s="3">
        <f t="shared" ref="FL47" si="896">SUM(FL42:FL46)</f>
        <v>217720</v>
      </c>
      <c r="FM47" s="3">
        <f t="shared" ref="FM47" si="897">SUM(FM42:FM46)</f>
        <v>217720</v>
      </c>
      <c r="FN47" s="3">
        <f t="shared" ref="FN47" si="898">SUM(FN42:FN46)</f>
        <v>267140</v>
      </c>
      <c r="FO47" s="3">
        <f t="shared" ref="FO47" si="899">SUM(FO42:FO46)</f>
        <v>224780</v>
      </c>
      <c r="FP47" s="3">
        <f t="shared" ref="FP47" si="900">SUM(FP42:FP46)</f>
        <v>224780</v>
      </c>
      <c r="FQ47" s="3">
        <f t="shared" ref="FQ47" si="901">SUM(FQ42:FQ46)</f>
        <v>224780</v>
      </c>
      <c r="FR47" s="3">
        <f t="shared" ref="FR47" si="902">SUM(FR42:FR46)</f>
        <v>224780</v>
      </c>
      <c r="FS47" s="3">
        <f t="shared" ref="FS47" si="903">SUM(FS42:FS46)</f>
        <v>224780</v>
      </c>
      <c r="FT47" s="3">
        <f t="shared" ref="FT47" si="904">SUM(FT42:FT46)</f>
        <v>2592000</v>
      </c>
      <c r="FU47" s="3">
        <f>SUM(FU42:FU46)</f>
        <v>4500</v>
      </c>
      <c r="FV47" s="3">
        <f t="shared" ref="FV47" si="905">SUM(FV42:FV46)</f>
        <v>4500</v>
      </c>
      <c r="FW47" s="3">
        <f t="shared" ref="FW47" si="906">SUM(FW42:FW46)</f>
        <v>5880</v>
      </c>
      <c r="FX47" s="3">
        <f t="shared" ref="FX47" si="907">SUM(FX42:FX46)</f>
        <v>5250</v>
      </c>
      <c r="FY47" s="3">
        <f t="shared" ref="FY47" si="908">SUM(FY42:FY46)</f>
        <v>5250</v>
      </c>
      <c r="FZ47" s="3">
        <f t="shared" ref="FZ47" si="909">SUM(FZ42:FZ46)</f>
        <v>5495.3600000000006</v>
      </c>
      <c r="GA47" s="3">
        <f t="shared" ref="GA47" si="910">SUM(GA42:GA46)</f>
        <v>5250</v>
      </c>
      <c r="GB47" s="3">
        <f t="shared" ref="GB47" si="911">SUM(GB42:GB46)</f>
        <v>5250</v>
      </c>
      <c r="GC47" s="3">
        <f t="shared" ref="GC47" si="912">SUM(GC42:GC46)</f>
        <v>5250</v>
      </c>
      <c r="GD47" s="3">
        <f t="shared" ref="GD47" si="913">SUM(GD42:GD46)</f>
        <v>5250</v>
      </c>
      <c r="GE47" s="3">
        <f t="shared" ref="GE47" si="914">SUM(GE42:GE46)</f>
        <v>5250</v>
      </c>
      <c r="GF47" s="3">
        <f t="shared" ref="GF47" si="915">SUM(GF42:GF46)</f>
        <v>5250</v>
      </c>
      <c r="GG47" s="3">
        <f t="shared" ref="GG47" si="916">SUM(GG42:GG46)</f>
        <v>61622.68</v>
      </c>
      <c r="GH47" s="3">
        <f>SUM(GH42:GH46)</f>
        <v>2878</v>
      </c>
      <c r="GI47" s="3">
        <f t="shared" ref="GI47" si="917">SUM(GI42:GI46)</f>
        <v>2878</v>
      </c>
      <c r="GJ47" s="3">
        <f t="shared" ref="GJ47" si="918">SUM(GJ42:GJ46)</f>
        <v>2878</v>
      </c>
      <c r="GK47" s="3">
        <f t="shared" ref="GK47" si="919">SUM(GK42:GK46)</f>
        <v>2878</v>
      </c>
      <c r="GL47" s="3">
        <f t="shared" ref="GL47" si="920">SUM(GL42:GL46)</f>
        <v>2878</v>
      </c>
      <c r="GM47" s="3">
        <f t="shared" ref="GM47" si="921">SUM(GM42:GM46)</f>
        <v>2878</v>
      </c>
      <c r="GN47" s="3">
        <f t="shared" ref="GN47" si="922">SUM(GN42:GN46)</f>
        <v>3887</v>
      </c>
      <c r="GO47" s="3">
        <f t="shared" ref="GO47" si="923">SUM(GO42:GO46)</f>
        <v>3023</v>
      </c>
      <c r="GP47" s="3">
        <f t="shared" ref="GP47" si="924">SUM(GP42:GP46)</f>
        <v>3023</v>
      </c>
      <c r="GQ47" s="3">
        <f t="shared" ref="GQ47" si="925">SUM(GQ42:GQ46)</f>
        <v>3023</v>
      </c>
      <c r="GR47" s="3">
        <f t="shared" ref="GR47" si="926">SUM(GR42:GR46)</f>
        <v>3023</v>
      </c>
      <c r="GS47" s="3">
        <f t="shared" ref="GS47" si="927">SUM(GS42:GS46)</f>
        <v>3023</v>
      </c>
      <c r="GT47" s="3">
        <f t="shared" ref="GT47" si="928">SUM(GT42:GT46)</f>
        <v>35406</v>
      </c>
      <c r="GU47" s="67">
        <f t="shared" ref="GU47" si="929">+FT47+GG47+GT47</f>
        <v>2689028.68</v>
      </c>
      <c r="GV47" s="3">
        <f>SUM(GV42:GV46)</f>
        <v>198270</v>
      </c>
      <c r="GW47" s="3">
        <f t="shared" ref="GW47" si="930">SUM(GW42:GW46)</f>
        <v>198270</v>
      </c>
      <c r="GX47" s="3">
        <f t="shared" ref="GX47" si="931">SUM(GX42:GX46)</f>
        <v>244645</v>
      </c>
      <c r="GY47" s="3">
        <f t="shared" ref="GY47" si="932">SUM(GY42:GY46)</f>
        <v>224520</v>
      </c>
      <c r="GZ47" s="3">
        <f t="shared" ref="GZ47" si="933">SUM(GZ42:GZ46)</f>
        <v>224520</v>
      </c>
      <c r="HA47" s="3">
        <f t="shared" ref="HA47" si="934">SUM(HA42:HA46)</f>
        <v>224520</v>
      </c>
      <c r="HB47" s="3">
        <f t="shared" ref="HB47" si="935">SUM(HB42:HB46)</f>
        <v>282410</v>
      </c>
      <c r="HC47" s="3">
        <f t="shared" ref="HC47" si="936">SUM(HC42:HC46)</f>
        <v>232790</v>
      </c>
      <c r="HD47" s="3">
        <f t="shared" ref="HD47" si="937">SUM(HD42:HD46)</f>
        <v>232790</v>
      </c>
      <c r="HE47" s="3">
        <f t="shared" ref="HE47" si="938">SUM(HE42:HE46)</f>
        <v>232790</v>
      </c>
      <c r="HF47" s="3">
        <f t="shared" ref="HF47" si="939">SUM(HF42:HF46)</f>
        <v>232790</v>
      </c>
      <c r="HG47" s="3">
        <f t="shared" ref="HG47" si="940">SUM(HG42:HG46)</f>
        <v>232790</v>
      </c>
      <c r="HH47" s="3">
        <f t="shared" ref="HH47" si="941">SUM(HH42:HH46)</f>
        <v>2691360</v>
      </c>
      <c r="HI47" s="3">
        <f>SUM(HI42:HI46)</f>
        <v>4500</v>
      </c>
      <c r="HJ47" s="3">
        <f t="shared" ref="HJ47" si="942">SUM(HJ42:HJ46)</f>
        <v>4500</v>
      </c>
      <c r="HK47" s="3">
        <f t="shared" ref="HK47" si="943">SUM(HK42:HK46)</f>
        <v>6000</v>
      </c>
      <c r="HL47" s="3">
        <f t="shared" ref="HL47" si="944">SUM(HL42:HL46)</f>
        <v>5250</v>
      </c>
      <c r="HM47" s="3">
        <f t="shared" ref="HM47" si="945">SUM(HM42:HM46)</f>
        <v>5250</v>
      </c>
      <c r="HN47" s="3">
        <f t="shared" ref="HN47" si="946">SUM(HN42:HN46)</f>
        <v>5250</v>
      </c>
      <c r="HO47" s="3">
        <f t="shared" ref="HO47" si="947">SUM(HO42:HO46)</f>
        <v>5250</v>
      </c>
      <c r="HP47" s="3">
        <f t="shared" ref="HP47" si="948">SUM(HP42:HP46)</f>
        <v>5250</v>
      </c>
      <c r="HQ47" s="3">
        <f t="shared" ref="HQ47" si="949">SUM(HQ42:HQ46)</f>
        <v>5250</v>
      </c>
      <c r="HR47" s="3">
        <f t="shared" ref="HR47" si="950">SUM(HR42:HR46)</f>
        <v>5250</v>
      </c>
      <c r="HS47" s="3">
        <f t="shared" ref="HS47" si="951">SUM(HS42:HS46)</f>
        <v>5250</v>
      </c>
      <c r="HT47" s="3">
        <f t="shared" ref="HT47" si="952">SUM(HT42:HT46)</f>
        <v>5250</v>
      </c>
      <c r="HU47" s="3">
        <f t="shared" ref="HU47" si="953">SUM(HU42:HU46)</f>
        <v>61500</v>
      </c>
      <c r="HV47" s="3">
        <f>SUM(HV42:HV46)</f>
        <v>4831</v>
      </c>
      <c r="HW47" s="3">
        <f t="shared" ref="HW47" si="954">SUM(HW42:HW46)</f>
        <v>4831</v>
      </c>
      <c r="HX47" s="3">
        <f t="shared" ref="HX47" si="955">SUM(HX42:HX46)</f>
        <v>4831</v>
      </c>
      <c r="HY47" s="3">
        <f t="shared" ref="HY47" si="956">SUM(HY42:HY46)</f>
        <v>4831</v>
      </c>
      <c r="HZ47" s="3">
        <f t="shared" ref="HZ47" si="957">SUM(HZ42:HZ46)</f>
        <v>5947</v>
      </c>
      <c r="IA47" s="3">
        <f t="shared" ref="IA47" si="958">SUM(IA42:IA46)</f>
        <v>5947</v>
      </c>
      <c r="IB47" s="3">
        <f t="shared" ref="IB47" si="959">SUM(IB42:IB46)</f>
        <v>7473</v>
      </c>
      <c r="IC47" s="3">
        <f t="shared" ref="IC47" si="960">SUM(IC42:IC46)</f>
        <v>6197</v>
      </c>
      <c r="ID47" s="3">
        <f t="shared" ref="ID47" si="961">SUM(ID42:ID46)</f>
        <v>6197</v>
      </c>
      <c r="IE47" s="3">
        <f t="shared" ref="IE47" si="962">SUM(IE42:IE46)</f>
        <v>6985</v>
      </c>
      <c r="IF47" s="3">
        <f t="shared" ref="IF47" si="963">SUM(IF42:IF46)</f>
        <v>6985</v>
      </c>
      <c r="IG47" s="3">
        <f t="shared" ref="IG47" si="964">SUM(IG42:IG46)</f>
        <v>6985</v>
      </c>
      <c r="IH47" s="3">
        <f t="shared" ref="IH47" si="965">SUM(IH42:IH46)</f>
        <v>70764</v>
      </c>
      <c r="II47" s="67">
        <f t="shared" ref="II47" si="966">+HH47+HU47+IH47</f>
        <v>2823624</v>
      </c>
      <c r="IJ47" s="3">
        <f>SUM(IJ42:IJ46)</f>
        <v>120290</v>
      </c>
      <c r="IK47" s="3">
        <f t="shared" ref="IK47" si="967">SUM(IK42:IK46)</f>
        <v>120290</v>
      </c>
      <c r="IL47" s="3">
        <f t="shared" ref="IL47" si="968">SUM(IL42:IL46)</f>
        <v>120290</v>
      </c>
      <c r="IM47" s="3">
        <f t="shared" ref="IM47" si="969">SUM(IM42:IM46)</f>
        <v>181257.74</v>
      </c>
      <c r="IN47" s="3">
        <f t="shared" ref="IN47" si="970">SUM(IN42:IN46)</f>
        <v>151790</v>
      </c>
      <c r="IO47" s="3">
        <f t="shared" ref="IO47" si="971">SUM(IO42:IO46)</f>
        <v>151790</v>
      </c>
      <c r="IP47" s="3">
        <f t="shared" ref="IP47" si="972">SUM(IP42:IP46)</f>
        <v>175800</v>
      </c>
      <c r="IQ47" s="3">
        <f t="shared" ref="IQ47" si="973">SUM(IQ42:IQ46)</f>
        <v>155220</v>
      </c>
      <c r="IR47" s="3">
        <f t="shared" ref="IR47" si="974">SUM(IR42:IR46)</f>
        <v>155220</v>
      </c>
      <c r="IS47" s="3">
        <f t="shared" ref="IS47" si="975">SUM(IS42:IS46)</f>
        <v>155220</v>
      </c>
      <c r="IT47" s="3">
        <f t="shared" ref="IT47" si="976">SUM(IT42:IT46)</f>
        <v>155220</v>
      </c>
      <c r="IU47" s="3">
        <f t="shared" ref="IU47" si="977">SUM(IU42:IU46)</f>
        <v>155220</v>
      </c>
      <c r="IV47" s="3">
        <f t="shared" ref="IV47" si="978">SUM(IV42:IV46)</f>
        <v>1747560</v>
      </c>
      <c r="IW47" s="3">
        <f>SUM(IW42:IW46)</f>
        <v>3000</v>
      </c>
      <c r="IX47" s="3">
        <f t="shared" ref="IX47" si="979">SUM(IX42:IX46)</f>
        <v>3000</v>
      </c>
      <c r="IY47" s="3">
        <f t="shared" ref="IY47" si="980">SUM(IY42:IY46)</f>
        <v>3000</v>
      </c>
      <c r="IZ47" s="3">
        <f t="shared" ref="IZ47" si="981">SUM(IZ42:IZ46)</f>
        <v>4500</v>
      </c>
      <c r="JA47" s="3">
        <f t="shared" ref="JA47" si="982">SUM(JA42:JA46)</f>
        <v>3750</v>
      </c>
      <c r="JB47" s="3">
        <f t="shared" ref="JB47" si="983">SUM(JB42:JB46)</f>
        <v>4056.7</v>
      </c>
      <c r="JC47" s="3">
        <f t="shared" ref="JC47" si="984">SUM(JC42:JC46)</f>
        <v>3750</v>
      </c>
      <c r="JD47" s="3">
        <f t="shared" ref="JD47" si="985">SUM(JD42:JD46)</f>
        <v>3750</v>
      </c>
      <c r="JE47" s="3">
        <f t="shared" ref="JE47" si="986">SUM(JE42:JE46)</f>
        <v>3750</v>
      </c>
      <c r="JF47" s="3">
        <f t="shared" ref="JF47" si="987">SUM(JF42:JF46)</f>
        <v>3750</v>
      </c>
      <c r="JG47" s="3">
        <f t="shared" ref="JG47" si="988">SUM(JG42:JG46)</f>
        <v>3750</v>
      </c>
      <c r="JH47" s="3">
        <f t="shared" ref="JH47" si="989">SUM(JH42:JH46)</f>
        <v>3750</v>
      </c>
      <c r="JI47" s="3">
        <f t="shared" ref="JI47" si="990">SUM(JI42:JI46)</f>
        <v>42903.35</v>
      </c>
      <c r="JJ47" s="3">
        <f>SUM(JJ42:JJ46)</f>
        <v>1734</v>
      </c>
      <c r="JK47" s="3">
        <f t="shared" ref="JK47" si="991">SUM(JK42:JK46)</f>
        <v>1734</v>
      </c>
      <c r="JL47" s="3">
        <f t="shared" ref="JL47" si="992">SUM(JL42:JL46)</f>
        <v>1734</v>
      </c>
      <c r="JM47" s="3">
        <f t="shared" ref="JM47" si="993">SUM(JM42:JM46)</f>
        <v>1734</v>
      </c>
      <c r="JN47" s="3">
        <f t="shared" ref="JN47" si="994">SUM(JN42:JN46)</f>
        <v>2679</v>
      </c>
      <c r="JO47" s="3">
        <f t="shared" ref="JO47" si="995">SUM(JO42:JO46)</f>
        <v>2679</v>
      </c>
      <c r="JP47" s="3">
        <f t="shared" ref="JP47" si="996">SUM(JP42:JP46)</f>
        <v>3275</v>
      </c>
      <c r="JQ47" s="3">
        <f t="shared" ref="JQ47" si="997">SUM(JQ42:JQ46)</f>
        <v>2765</v>
      </c>
      <c r="JR47" s="3">
        <f t="shared" ref="JR47" si="998">SUM(JR42:JR46)</f>
        <v>2765</v>
      </c>
      <c r="JS47" s="3">
        <f t="shared" ref="JS47" si="999">SUM(JS42:JS46)</f>
        <v>2765</v>
      </c>
      <c r="JT47" s="3">
        <f t="shared" ref="JT47" si="1000">SUM(JT42:JT46)</f>
        <v>3710</v>
      </c>
      <c r="JU47" s="3">
        <f t="shared" ref="JU47" si="1001">SUM(JU42:JU46)</f>
        <v>3710</v>
      </c>
      <c r="JV47" s="3">
        <f t="shared" ref="JV47" si="1002">SUM(JV42:JV46)</f>
        <v>30774</v>
      </c>
      <c r="JW47" s="67">
        <f t="shared" ref="JW47" si="1003">+IV47+JI47+JV47</f>
        <v>1821237.35</v>
      </c>
      <c r="JX47" s="3">
        <f>SUM(JX42:JX46)</f>
        <v>127640</v>
      </c>
      <c r="JY47" s="3">
        <f t="shared" ref="JY47" si="1004">SUM(JY42:JY46)</f>
        <v>127640</v>
      </c>
      <c r="JZ47" s="3">
        <f t="shared" ref="JZ47" si="1005">SUM(JZ42:JZ46)</f>
        <v>127640</v>
      </c>
      <c r="KA47" s="3">
        <f t="shared" ref="KA47" si="1006">SUM(KA42:KA46)</f>
        <v>127640</v>
      </c>
      <c r="KB47" s="3">
        <f t="shared" ref="KB47" si="1007">SUM(KB42:KB46)</f>
        <v>127640</v>
      </c>
      <c r="KC47" s="3">
        <f t="shared" ref="KC47" si="1008">SUM(KC42:KC46)</f>
        <v>127640</v>
      </c>
      <c r="KD47" s="3">
        <f t="shared" ref="KD47" si="1009">SUM(KD42:KD46)</f>
        <v>162920</v>
      </c>
      <c r="KE47" s="3">
        <f t="shared" ref="KE47" si="1010">SUM(KE42:KE46)</f>
        <v>132680</v>
      </c>
      <c r="KF47" s="3">
        <f t="shared" ref="KF47" si="1011">SUM(KF42:KF46)</f>
        <v>132680</v>
      </c>
      <c r="KG47" s="3">
        <f t="shared" ref="KG47" si="1012">SUM(KG42:KG46)</f>
        <v>132680</v>
      </c>
      <c r="KH47" s="3">
        <f t="shared" ref="KH47" si="1013">SUM(KH42:KH46)</f>
        <v>132680</v>
      </c>
      <c r="KI47" s="3">
        <f t="shared" ref="KI47" si="1014">SUM(KI42:KI46)</f>
        <v>132680</v>
      </c>
      <c r="KJ47" s="3">
        <f t="shared" ref="KJ47" si="1015">SUM(KJ42:KJ46)</f>
        <v>1561920</v>
      </c>
      <c r="KK47" s="3">
        <f>SUM(KK42:KK46)</f>
        <v>3000</v>
      </c>
      <c r="KL47" s="3">
        <f t="shared" ref="KL47" si="1016">SUM(KL42:KL46)</f>
        <v>3000</v>
      </c>
      <c r="KM47" s="3">
        <f t="shared" ref="KM47" si="1017">SUM(KM42:KM46)</f>
        <v>3000</v>
      </c>
      <c r="KN47" s="3">
        <f t="shared" ref="KN47" si="1018">SUM(KN42:KN46)</f>
        <v>3000</v>
      </c>
      <c r="KO47" s="3">
        <f t="shared" ref="KO47" si="1019">SUM(KO42:KO46)</f>
        <v>3000</v>
      </c>
      <c r="KP47" s="3">
        <f t="shared" ref="KP47" si="1020">SUM(KP42:KP46)</f>
        <v>3245.3599999999997</v>
      </c>
      <c r="KQ47" s="3">
        <f t="shared" ref="KQ47" si="1021">SUM(KQ42:KQ46)</f>
        <v>3000</v>
      </c>
      <c r="KR47" s="3">
        <f t="shared" ref="KR47" si="1022">SUM(KR42:KR46)</f>
        <v>3000</v>
      </c>
      <c r="KS47" s="3">
        <f t="shared" ref="KS47" si="1023">SUM(KS42:KS46)</f>
        <v>3000</v>
      </c>
      <c r="KT47" s="3">
        <f t="shared" ref="KT47" si="1024">SUM(KT42:KT46)</f>
        <v>3000</v>
      </c>
      <c r="KU47" s="3">
        <f t="shared" ref="KU47" si="1025">SUM(KU42:KU46)</f>
        <v>3000</v>
      </c>
      <c r="KV47" s="3">
        <f t="shared" ref="KV47" si="1026">SUM(KV42:KV46)</f>
        <v>3000</v>
      </c>
      <c r="KW47" s="3">
        <f t="shared" ref="KW47" si="1027">SUM(KW42:KW46)</f>
        <v>36122.68</v>
      </c>
      <c r="KX47" s="3">
        <f>SUM(KX42:KX46)</f>
        <v>992</v>
      </c>
      <c r="KY47" s="3">
        <f t="shared" ref="KY47" si="1028">SUM(KY42:KY46)</f>
        <v>992</v>
      </c>
      <c r="KZ47" s="3">
        <f t="shared" ref="KZ47" si="1029">SUM(KZ42:KZ46)</f>
        <v>992</v>
      </c>
      <c r="LA47" s="3">
        <f t="shared" ref="LA47" si="1030">SUM(LA42:LA46)</f>
        <v>992</v>
      </c>
      <c r="LB47" s="3">
        <f t="shared" ref="LB47" si="1031">SUM(LB42:LB46)</f>
        <v>992</v>
      </c>
      <c r="LC47" s="3">
        <f t="shared" ref="LC47" si="1032">SUM(LC42:LC46)</f>
        <v>992</v>
      </c>
      <c r="LD47" s="3">
        <f t="shared" ref="LD47" si="1033">SUM(LD42:LD46)</f>
        <v>1271</v>
      </c>
      <c r="LE47" s="3">
        <f t="shared" ref="LE47" si="1034">SUM(LE42:LE46)</f>
        <v>1031</v>
      </c>
      <c r="LF47" s="3">
        <f t="shared" ref="LF47" si="1035">SUM(LF42:LF46)</f>
        <v>1031</v>
      </c>
      <c r="LG47" s="3">
        <f t="shared" ref="LG47" si="1036">SUM(LG42:LG46)</f>
        <v>1031</v>
      </c>
      <c r="LH47" s="3">
        <f t="shared" ref="LH47" si="1037">SUM(LH42:LH46)</f>
        <v>1031</v>
      </c>
      <c r="LI47" s="3">
        <f t="shared" ref="LI47" si="1038">SUM(LI42:LI46)</f>
        <v>1031</v>
      </c>
      <c r="LJ47" s="3">
        <f t="shared" ref="LJ47" si="1039">SUM(LJ42:LJ46)</f>
        <v>12138</v>
      </c>
      <c r="LK47" s="67">
        <f t="shared" ref="LK47" si="1040">+KJ47+KW47+LJ47</f>
        <v>1610180.68</v>
      </c>
      <c r="LL47" s="3">
        <f>SUM(LL42:LL46)</f>
        <v>115410</v>
      </c>
      <c r="LM47" s="3">
        <f t="shared" ref="LM47" si="1041">SUM(LM42:LM46)</f>
        <v>115410</v>
      </c>
      <c r="LN47" s="3">
        <f t="shared" ref="LN47" si="1042">SUM(LN42:LN46)</f>
        <v>115410</v>
      </c>
      <c r="LO47" s="3">
        <f t="shared" ref="LO47" si="1043">SUM(LO42:LO46)</f>
        <v>166216.45000000001</v>
      </c>
      <c r="LP47" s="3">
        <f t="shared" ref="LP47" si="1044">SUM(LP42:LP46)</f>
        <v>141660</v>
      </c>
      <c r="LQ47" s="3">
        <f t="shared" ref="LQ47" si="1045">SUM(LQ42:LQ46)</f>
        <v>141660</v>
      </c>
      <c r="LR47" s="3">
        <f t="shared" ref="LR47" si="1046">SUM(LR42:LR46)</f>
        <v>159440</v>
      </c>
      <c r="LS47" s="3">
        <f t="shared" ref="LS47" si="1047">SUM(LS42:LS46)</f>
        <v>144200</v>
      </c>
      <c r="LT47" s="3">
        <f t="shared" ref="LT47" si="1048">SUM(LT42:LT46)</f>
        <v>144200</v>
      </c>
      <c r="LU47" s="3">
        <f t="shared" ref="LU47" si="1049">SUM(LU42:LU46)</f>
        <v>144200</v>
      </c>
      <c r="LV47" s="3">
        <f t="shared" ref="LV47" si="1050">SUM(LV42:LV46)</f>
        <v>144200</v>
      </c>
      <c r="LW47" s="3">
        <f t="shared" ref="LW47" si="1051">SUM(LW42:LW46)</f>
        <v>150127.42000000001</v>
      </c>
      <c r="LX47" s="3">
        <f t="shared" ref="LX47" si="1052">SUM(LX42:LX46)</f>
        <v>1636410</v>
      </c>
      <c r="LY47" s="3">
        <f>SUM(LY42:LY46)</f>
        <v>3000</v>
      </c>
      <c r="LZ47" s="3">
        <f t="shared" ref="LZ47" si="1053">SUM(LZ42:LZ46)</f>
        <v>3000</v>
      </c>
      <c r="MA47" s="3">
        <f t="shared" ref="MA47" si="1054">SUM(MA42:MA46)</f>
        <v>3000</v>
      </c>
      <c r="MB47" s="3">
        <f t="shared" ref="MB47" si="1055">SUM(MB42:MB46)</f>
        <v>4500</v>
      </c>
      <c r="MC47" s="3">
        <f t="shared" ref="MC47" si="1056">SUM(MC42:MC46)</f>
        <v>3750</v>
      </c>
      <c r="MD47" s="3">
        <f t="shared" ref="MD47" si="1057">SUM(MD42:MD46)</f>
        <v>4056.7</v>
      </c>
      <c r="ME47" s="3">
        <f t="shared" ref="ME47" si="1058">SUM(ME42:ME46)</f>
        <v>3750</v>
      </c>
      <c r="MF47" s="3">
        <f t="shared" ref="MF47" si="1059">SUM(MF42:MF46)</f>
        <v>3750</v>
      </c>
      <c r="MG47" s="3">
        <f t="shared" ref="MG47" si="1060">SUM(MG42:MG46)</f>
        <v>3750</v>
      </c>
      <c r="MH47" s="3">
        <f t="shared" ref="MH47" si="1061">SUM(MH42:MH46)</f>
        <v>3750</v>
      </c>
      <c r="MI47" s="3">
        <f t="shared" ref="MI47" si="1062">SUM(MI42:MI46)</f>
        <v>3750</v>
      </c>
      <c r="MJ47" s="3">
        <f t="shared" ref="MJ47" si="1063">SUM(MJ42:MJ46)</f>
        <v>3929</v>
      </c>
      <c r="MK47" s="3">
        <f t="shared" ref="MK47" si="1064">SUM(MK42:MK46)</f>
        <v>42903.35</v>
      </c>
      <c r="ML47" s="3">
        <f>SUM(ML42:ML46)</f>
        <v>3463</v>
      </c>
      <c r="MM47" s="3">
        <f t="shared" ref="MM47" si="1065">SUM(MM42:MM46)</f>
        <v>3463</v>
      </c>
      <c r="MN47" s="3">
        <f t="shared" ref="MN47" si="1066">SUM(MN42:MN46)</f>
        <v>3463</v>
      </c>
      <c r="MO47" s="3">
        <f t="shared" ref="MO47" si="1067">SUM(MO42:MO46)</f>
        <v>3463</v>
      </c>
      <c r="MP47" s="3">
        <f t="shared" ref="MP47" si="1068">SUM(MP42:MP46)</f>
        <v>3463</v>
      </c>
      <c r="MQ47" s="3">
        <f t="shared" ref="MQ47" si="1069">SUM(MQ42:MQ46)</f>
        <v>3463</v>
      </c>
      <c r="MR47" s="3">
        <f t="shared" ref="MR47" si="1070">SUM(MR42:MR46)</f>
        <v>3995</v>
      </c>
      <c r="MS47" s="3">
        <f t="shared" ref="MS47" si="1071">SUM(MS42:MS46)</f>
        <v>3539</v>
      </c>
      <c r="MT47" s="3">
        <f t="shared" ref="MT47" si="1072">SUM(MT42:MT46)</f>
        <v>3539</v>
      </c>
      <c r="MU47" s="3">
        <f t="shared" ref="MU47" si="1073">SUM(MU42:MU46)</f>
        <v>3539</v>
      </c>
      <c r="MV47" s="3">
        <f t="shared" ref="MV47" si="1074">SUM(MV42:MV46)</f>
        <v>4327</v>
      </c>
      <c r="MW47" s="3">
        <f t="shared" ref="MW47" si="1075">SUM(MW42:MW46)</f>
        <v>4327</v>
      </c>
      <c r="MX47" s="3">
        <f t="shared" ref="MX47" si="1076">SUM(MX42:MX46)</f>
        <v>43588</v>
      </c>
      <c r="MY47" s="67">
        <f t="shared" ref="MY47" si="1077">+LX47+MK47+MX47</f>
        <v>1722901.35</v>
      </c>
      <c r="MZ47" s="3">
        <f>SUM(MZ42:MZ46)</f>
        <v>1050693.82</v>
      </c>
      <c r="NA47" s="3">
        <f t="shared" ref="NA47" si="1078">SUM(NA42:NA46)</f>
        <v>967710</v>
      </c>
      <c r="NB47" s="3">
        <f t="shared" ref="NB47" si="1079">SUM(NB42:NB46)</f>
        <v>967710</v>
      </c>
      <c r="NC47" s="3">
        <f t="shared" ref="NC47" si="1080">SUM(NC42:NC46)</f>
        <v>967710</v>
      </c>
      <c r="ND47" s="3">
        <f t="shared" ref="ND47" si="1081">SUM(ND42:ND46)</f>
        <v>967710</v>
      </c>
      <c r="NE47" s="3">
        <f t="shared" ref="NE47" si="1082">SUM(NE42:NE46)</f>
        <v>967710</v>
      </c>
      <c r="NF47" s="3">
        <f t="shared" ref="NF47" si="1083">SUM(NF42:NF46)</f>
        <v>1082250</v>
      </c>
      <c r="NG47" s="3">
        <f t="shared" ref="NG47" si="1084">SUM(NG42:NG46)</f>
        <v>1272150</v>
      </c>
      <c r="NH47" s="3">
        <f t="shared" ref="NH47" si="1085">SUM(NH42:NH46)</f>
        <v>976950</v>
      </c>
      <c r="NI47" s="3">
        <f t="shared" ref="NI47" si="1086">SUM(NI42:NI46)</f>
        <v>976950</v>
      </c>
      <c r="NJ47" s="3">
        <f t="shared" ref="NJ47" si="1087">SUM(NJ42:NJ46)</f>
        <v>976950</v>
      </c>
      <c r="NK47" s="3">
        <f t="shared" ref="NK47" si="1088">SUM(NK42:NK46)</f>
        <v>976950</v>
      </c>
      <c r="NL47" s="3">
        <f t="shared" ref="NL47" si="1089">SUM(NL42:NL46)</f>
        <v>11857051.91</v>
      </c>
      <c r="NM47" s="3">
        <f>SUM(NM42:NM46)</f>
        <v>29250</v>
      </c>
      <c r="NN47" s="3">
        <f t="shared" ref="NN47" si="1090">SUM(NN42:NN46)</f>
        <v>26250</v>
      </c>
      <c r="NO47" s="3">
        <f t="shared" ref="NO47" si="1091">SUM(NO42:NO46)</f>
        <v>26250</v>
      </c>
      <c r="NP47" s="3">
        <f t="shared" ref="NP47" si="1092">SUM(NP42:NP46)</f>
        <v>26250</v>
      </c>
      <c r="NQ47" s="3">
        <f t="shared" ref="NQ47" si="1093">SUM(NQ42:NQ46)</f>
        <v>26250</v>
      </c>
      <c r="NR47" s="3">
        <f t="shared" ref="NR47" si="1094">SUM(NR42:NR46)</f>
        <v>26863.339999999997</v>
      </c>
      <c r="NS47" s="3">
        <f t="shared" ref="NS47" si="1095">SUM(NS42:NS46)</f>
        <v>55259.040000000008</v>
      </c>
      <c r="NT47" s="3">
        <f t="shared" ref="NT47" si="1096">SUM(NT42:NT46)</f>
        <v>25500</v>
      </c>
      <c r="NU47" s="3">
        <f t="shared" ref="NU47" si="1097">SUM(NU42:NU46)</f>
        <v>25500</v>
      </c>
      <c r="NV47" s="3">
        <f t="shared" ref="NV47" si="1098">SUM(NV42:NV46)</f>
        <v>25500</v>
      </c>
      <c r="NW47" s="3">
        <f t="shared" ref="NW47" si="1099">SUM(NW42:NW46)</f>
        <v>25500</v>
      </c>
      <c r="NX47" s="3">
        <f t="shared" ref="NX47" si="1100">SUM(NX42:NX46)</f>
        <v>25500</v>
      </c>
      <c r="NY47" s="3">
        <f t="shared" ref="NY47" si="1101">SUM(NY42:NY46)</f>
        <v>327186.19</v>
      </c>
      <c r="NZ47" s="3">
        <f>SUM(NZ42:NZ46)</f>
        <v>19651</v>
      </c>
      <c r="OA47" s="3">
        <f t="shared" ref="OA47" si="1102">SUM(OA42:OA46)</f>
        <v>19651</v>
      </c>
      <c r="OB47" s="3">
        <f t="shared" ref="OB47" si="1103">SUM(OB42:OB46)</f>
        <v>19651</v>
      </c>
      <c r="OC47" s="3">
        <f t="shared" ref="OC47" si="1104">SUM(OC42:OC46)</f>
        <v>19651</v>
      </c>
      <c r="OD47" s="3">
        <f t="shared" ref="OD47" si="1105">SUM(OD42:OD46)</f>
        <v>19651</v>
      </c>
      <c r="OE47" s="3">
        <f t="shared" ref="OE47" si="1106">SUM(OE42:OE46)</f>
        <v>19651</v>
      </c>
      <c r="OF47" s="3">
        <f t="shared" ref="OF47" si="1107">SUM(OF42:OF46)</f>
        <v>25410</v>
      </c>
      <c r="OG47" s="3">
        <f t="shared" ref="OG47" si="1108">SUM(OG42:OG46)</f>
        <v>30360</v>
      </c>
      <c r="OH47" s="3">
        <f t="shared" ref="OH47" si="1109">SUM(OH42:OH46)</f>
        <v>22080</v>
      </c>
      <c r="OI47" s="3">
        <f t="shared" ref="OI47" si="1110">SUM(OI42:OI46)</f>
        <v>22080</v>
      </c>
      <c r="OJ47" s="3">
        <f t="shared" ref="OJ47" si="1111">SUM(OJ42:OJ46)</f>
        <v>22080</v>
      </c>
      <c r="OK47" s="3">
        <f t="shared" ref="OK47" si="1112">SUM(OK42:OK46)</f>
        <v>21318</v>
      </c>
      <c r="OL47" s="3">
        <f t="shared" ref="OL47" si="1113">SUM(OL42:OL46)</f>
        <v>254709</v>
      </c>
      <c r="OM47" s="67">
        <f>+NL47+NY47+OL47</f>
        <v>12438947.1</v>
      </c>
      <c r="ON47" s="3">
        <f t="shared" ref="ON47" si="1114">SUM(ON42:ON46)</f>
        <v>11200</v>
      </c>
      <c r="OO47" s="3">
        <f t="shared" ref="OO47" si="1115">SUM(OO42:OO46)</f>
        <v>11200</v>
      </c>
      <c r="OP47" s="3">
        <f t="shared" ref="OP47" si="1116">SUM(OP42:OP46)</f>
        <v>11200</v>
      </c>
      <c r="OQ47" s="3">
        <f t="shared" ref="OQ47" si="1117">SUM(OQ42:OQ46)</f>
        <v>11200</v>
      </c>
      <c r="OR47" s="3">
        <f t="shared" ref="OR47" si="1118">SUM(OR42:OR46)</f>
        <v>11200</v>
      </c>
      <c r="OS47" s="3">
        <f t="shared" ref="OS47" si="1119">SUM(OS42:OS46)</f>
        <v>137386.66</v>
      </c>
      <c r="OT47" s="3">
        <f t="shared" ref="OT47" si="1120">SUM(OT42:OT46)</f>
        <v>11200</v>
      </c>
      <c r="OU47" s="3">
        <f t="shared" ref="OU47" si="1121">SUM(OU42:OU46)</f>
        <v>11200</v>
      </c>
      <c r="OV47" s="3">
        <f t="shared" ref="OV47" si="1122">SUM(OV42:OV46)</f>
        <v>11200</v>
      </c>
      <c r="OW47" s="3">
        <f t="shared" ref="OW47" si="1123">SUM(OW42:OW46)</f>
        <v>11200</v>
      </c>
      <c r="OX47" s="3">
        <f t="shared" ref="OX47" si="1124">SUM(OX42:OX46)</f>
        <v>11200</v>
      </c>
      <c r="OY47" s="3">
        <f t="shared" ref="OY47" si="1125">SUM(OY42:OY46)</f>
        <v>11200</v>
      </c>
      <c r="OZ47" s="3">
        <f>SUM(ON47:OY47)</f>
        <v>260586.66</v>
      </c>
      <c r="PA47" s="82">
        <f>+AQ47+CE47+DS47+FG47+GU47+II47+JW47+LK47+MY47+OM47+OZ47</f>
        <v>29713022.800000001</v>
      </c>
    </row>
    <row r="48" spans="1:418" hidden="1" x14ac:dyDescent="0.35">
      <c r="AQ48" s="3">
        <f>+AQ40-AQ47</f>
        <v>0</v>
      </c>
      <c r="CE48" s="3">
        <f>+CE40-CE47</f>
        <v>36576</v>
      </c>
      <c r="DS48" s="3">
        <f>+DS40-DS47</f>
        <v>17888</v>
      </c>
      <c r="FG48" s="3">
        <f>+FG40-FG47</f>
        <v>29760</v>
      </c>
      <c r="GU48" s="3">
        <f>+GU40-GU47</f>
        <v>56454</v>
      </c>
      <c r="II48" s="3">
        <f>+II40-II47</f>
        <v>71771</v>
      </c>
      <c r="JW48" s="3">
        <f>+JW40-JW47</f>
        <v>51307.739999999991</v>
      </c>
      <c r="LK48" s="3">
        <f>+LK40-LK47</f>
        <v>30480</v>
      </c>
      <c r="MY48" s="3">
        <f>+MY40-MY47</f>
        <v>47108.869999999879</v>
      </c>
      <c r="OM48" s="3">
        <f>+OM40-OM47</f>
        <v>106740</v>
      </c>
      <c r="OZ48" s="3">
        <f>+OZ40-OZ47</f>
        <v>-63093.329999999987</v>
      </c>
      <c r="PA48" s="3">
        <f>+PA40-PA47</f>
        <v>384992.27999999747</v>
      </c>
    </row>
    <row r="49" hidden="1" x14ac:dyDescent="0.35"/>
    <row r="50" hidden="1" x14ac:dyDescent="0.35"/>
  </sheetData>
  <mergeCells count="55">
    <mergeCell ref="IJ3:JW3"/>
    <mergeCell ref="IJ4:IV4"/>
    <mergeCell ref="IW4:JI4"/>
    <mergeCell ref="JJ4:JV4"/>
    <mergeCell ref="MZ3:OM3"/>
    <mergeCell ref="MZ4:NL4"/>
    <mergeCell ref="NM4:NY4"/>
    <mergeCell ref="NZ4:OL4"/>
    <mergeCell ref="JX3:LK3"/>
    <mergeCell ref="JX4:KJ4"/>
    <mergeCell ref="KK4:KW4"/>
    <mergeCell ref="KX4:LJ4"/>
    <mergeCell ref="LL3:MY3"/>
    <mergeCell ref="LL4:LX4"/>
    <mergeCell ref="LY4:MK4"/>
    <mergeCell ref="ML4:MX4"/>
    <mergeCell ref="GV3:II3"/>
    <mergeCell ref="GV4:HH4"/>
    <mergeCell ref="HI4:HU4"/>
    <mergeCell ref="HV4:IH4"/>
    <mergeCell ref="II4:II5"/>
    <mergeCell ref="DT3:FG3"/>
    <mergeCell ref="DT4:EF4"/>
    <mergeCell ref="EG4:ES4"/>
    <mergeCell ref="ET4:FF4"/>
    <mergeCell ref="FH3:GU3"/>
    <mergeCell ref="FH4:FT4"/>
    <mergeCell ref="FU4:GG4"/>
    <mergeCell ref="GH4:GT4"/>
    <mergeCell ref="ON4:OZ4"/>
    <mergeCell ref="ON3:OZ3"/>
    <mergeCell ref="A3:A4"/>
    <mergeCell ref="B3:B4"/>
    <mergeCell ref="PA3:PA4"/>
    <mergeCell ref="D4:P4"/>
    <mergeCell ref="Q4:AC4"/>
    <mergeCell ref="AD4:AP4"/>
    <mergeCell ref="D3:AQ3"/>
    <mergeCell ref="AR3:CE3"/>
    <mergeCell ref="AR4:BD4"/>
    <mergeCell ref="BE4:BQ4"/>
    <mergeCell ref="BR4:CD4"/>
    <mergeCell ref="CF3:DS3"/>
    <mergeCell ref="CF4:CR4"/>
    <mergeCell ref="CS4:DE4"/>
    <mergeCell ref="JW4:JW5"/>
    <mergeCell ref="LK4:LK5"/>
    <mergeCell ref="MY4:MY5"/>
    <mergeCell ref="OM4:OM5"/>
    <mergeCell ref="AQ4:AQ5"/>
    <mergeCell ref="CE4:CE5"/>
    <mergeCell ref="DS4:DS5"/>
    <mergeCell ref="FG4:FG5"/>
    <mergeCell ref="GU4:GU5"/>
    <mergeCell ref="DF4:DR4"/>
  </mergeCells>
  <pageMargins left="0.19" right="0.16" top="0.74803149606299213" bottom="0.74803149606299213" header="0.31496062992125984" footer="0.31496062992125984"/>
  <pageSetup paperSize="9" scale="24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49"/>
  <sheetViews>
    <sheetView showGridLines="0" zoomScale="70" zoomScaleNormal="70" workbookViewId="0">
      <pane xSplit="3" ySplit="6" topLeftCell="D33" activePane="bottomRight" state="frozen"/>
      <selection pane="topRight" activeCell="D1" sqref="D1"/>
      <selection pane="bottomLeft" activeCell="A7" sqref="A7"/>
      <selection pane="bottomRight" activeCell="A42" sqref="A42:XFD49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2.375" style="1" hidden="1" customWidth="1"/>
    <col min="29" max="29" width="12.375" style="1" bestFit="1" customWidth="1"/>
    <col min="30" max="41" width="12.375" style="1" hidden="1" customWidth="1"/>
    <col min="42" max="42" width="12.375" style="1" bestFit="1" customWidth="1"/>
    <col min="43" max="44" width="14.125" style="1" bestFit="1" customWidth="1"/>
    <col min="45" max="16384" width="9" style="1"/>
  </cols>
  <sheetData>
    <row r="1" spans="1:44" x14ac:dyDescent="0.35">
      <c r="A1" s="97" t="s">
        <v>118</v>
      </c>
      <c r="B1" s="98"/>
      <c r="C1" s="98"/>
      <c r="D1" s="98"/>
      <c r="E1" s="98"/>
      <c r="F1" s="98"/>
    </row>
    <row r="2" spans="1:44" s="12" customFormat="1" x14ac:dyDescent="0.35">
      <c r="A2" s="32"/>
      <c r="B2" s="32"/>
      <c r="C2" s="32"/>
      <c r="D2" s="32"/>
      <c r="E2" s="32"/>
      <c r="F2" s="32"/>
    </row>
    <row r="3" spans="1:44" s="2" customFormat="1" x14ac:dyDescent="0.35">
      <c r="A3" s="92" t="s">
        <v>0</v>
      </c>
      <c r="B3" s="92" t="s">
        <v>14</v>
      </c>
      <c r="C3" s="30"/>
      <c r="D3" s="89" t="s">
        <v>56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92" t="s">
        <v>16</v>
      </c>
    </row>
    <row r="4" spans="1:44" s="2" customFormat="1" x14ac:dyDescent="0.35">
      <c r="A4" s="93"/>
      <c r="B4" s="93"/>
      <c r="C4" s="3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3"/>
    </row>
    <row r="5" spans="1:44" s="2" customFormat="1" x14ac:dyDescent="0.35">
      <c r="A5" s="31"/>
      <c r="B5" s="31"/>
      <c r="C5" s="3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24"/>
    </row>
    <row r="6" spans="1:44" hidden="1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13">
        <f>+AQ6</f>
        <v>0</v>
      </c>
    </row>
    <row r="7" spans="1:44" hidden="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2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38" si="3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4">SUM(AD7:AO7)</f>
        <v>0</v>
      </c>
      <c r="AQ7" s="4">
        <f t="shared" ref="AQ7:AQ40" si="5">+P7+AC7+AP7</f>
        <v>0</v>
      </c>
      <c r="AR7" s="13">
        <f t="shared" ref="AR7:AR39" si="6">+AQ7</f>
        <v>0</v>
      </c>
    </row>
    <row r="8" spans="1:44" hidden="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2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3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4"/>
        <v>0</v>
      </c>
      <c r="AQ8" s="4">
        <f t="shared" si="5"/>
        <v>0</v>
      </c>
      <c r="AR8" s="13">
        <f t="shared" si="6"/>
        <v>0</v>
      </c>
    </row>
    <row r="9" spans="1:44" hidden="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2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3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4"/>
        <v>0</v>
      </c>
      <c r="AQ9" s="4">
        <f t="shared" si="5"/>
        <v>0</v>
      </c>
      <c r="AR9" s="13">
        <f t="shared" si="6"/>
        <v>0</v>
      </c>
    </row>
    <row r="10" spans="1:44" hidden="1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2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3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4"/>
        <v>0</v>
      </c>
      <c r="AQ10" s="4">
        <f t="shared" si="5"/>
        <v>0</v>
      </c>
      <c r="AR10" s="13">
        <f t="shared" si="6"/>
        <v>0</v>
      </c>
    </row>
    <row r="11" spans="1:44" hidden="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2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3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4"/>
        <v>0</v>
      </c>
      <c r="AQ11" s="4">
        <f t="shared" si="5"/>
        <v>0</v>
      </c>
      <c r="AR11" s="13">
        <f t="shared" si="6"/>
        <v>0</v>
      </c>
    </row>
    <row r="12" spans="1:44" hidden="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2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3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4"/>
        <v>0</v>
      </c>
      <c r="AQ12" s="4">
        <f t="shared" si="5"/>
        <v>0</v>
      </c>
      <c r="AR12" s="13">
        <f t="shared" si="6"/>
        <v>0</v>
      </c>
    </row>
    <row r="13" spans="1:44" hidden="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2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3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4"/>
        <v>0</v>
      </c>
      <c r="AQ13" s="4">
        <f t="shared" si="5"/>
        <v>0</v>
      </c>
      <c r="AR13" s="13">
        <f t="shared" si="6"/>
        <v>0</v>
      </c>
    </row>
    <row r="14" spans="1:44" hidden="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2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3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4"/>
        <v>0</v>
      </c>
      <c r="AQ14" s="4">
        <f t="shared" si="5"/>
        <v>0</v>
      </c>
      <c r="AR14" s="13">
        <f t="shared" si="6"/>
        <v>0</v>
      </c>
    </row>
    <row r="15" spans="1:44" hidden="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2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3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4"/>
        <v>0</v>
      </c>
      <c r="AQ15" s="4">
        <f t="shared" si="5"/>
        <v>0</v>
      </c>
      <c r="AR15" s="13">
        <f t="shared" si="6"/>
        <v>0</v>
      </c>
    </row>
    <row r="16" spans="1:44" hidden="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2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3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4"/>
        <v>0</v>
      </c>
      <c r="AQ16" s="4">
        <f t="shared" si="5"/>
        <v>0</v>
      </c>
      <c r="AR16" s="13">
        <f t="shared" si="6"/>
        <v>0</v>
      </c>
    </row>
    <row r="17" spans="1:44" hidden="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2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3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4"/>
        <v>0</v>
      </c>
      <c r="AQ17" s="4">
        <f t="shared" si="5"/>
        <v>0</v>
      </c>
      <c r="AR17" s="13">
        <f t="shared" si="6"/>
        <v>0</v>
      </c>
    </row>
    <row r="18" spans="1:44" hidden="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2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3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4"/>
        <v>0</v>
      </c>
      <c r="AQ18" s="4">
        <f t="shared" si="5"/>
        <v>0</v>
      </c>
      <c r="AR18" s="13">
        <f t="shared" si="6"/>
        <v>0</v>
      </c>
    </row>
    <row r="19" spans="1:44" hidden="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2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3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4"/>
        <v>0</v>
      </c>
      <c r="AQ19" s="4">
        <f t="shared" si="5"/>
        <v>0</v>
      </c>
      <c r="AR19" s="13">
        <f t="shared" si="6"/>
        <v>0</v>
      </c>
    </row>
    <row r="20" spans="1:44" hidden="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2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3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4"/>
        <v>0</v>
      </c>
      <c r="AQ20" s="4">
        <f t="shared" si="5"/>
        <v>0</v>
      </c>
      <c r="AR20" s="13">
        <f t="shared" si="6"/>
        <v>0</v>
      </c>
    </row>
    <row r="21" spans="1:44" hidden="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2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3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4"/>
        <v>0</v>
      </c>
      <c r="AQ21" s="4">
        <f t="shared" si="5"/>
        <v>0</v>
      </c>
      <c r="AR21" s="13">
        <f t="shared" si="6"/>
        <v>0</v>
      </c>
    </row>
    <row r="22" spans="1:44" hidden="1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2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3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4"/>
        <v>0</v>
      </c>
      <c r="AQ22" s="4">
        <f t="shared" si="5"/>
        <v>0</v>
      </c>
      <c r="AR22" s="13">
        <f t="shared" si="6"/>
        <v>0</v>
      </c>
    </row>
    <row r="23" spans="1:44" hidden="1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2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3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4"/>
        <v>0</v>
      </c>
      <c r="AQ23" s="4">
        <f t="shared" si="5"/>
        <v>0</v>
      </c>
      <c r="AR23" s="13">
        <f t="shared" si="6"/>
        <v>0</v>
      </c>
    </row>
    <row r="24" spans="1:44" hidden="1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2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3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4"/>
        <v>0</v>
      </c>
      <c r="AQ24" s="4">
        <f t="shared" si="5"/>
        <v>0</v>
      </c>
      <c r="AR24" s="13">
        <f t="shared" si="6"/>
        <v>0</v>
      </c>
    </row>
    <row r="25" spans="1:44" hidden="1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2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3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4"/>
        <v>0</v>
      </c>
      <c r="AQ25" s="4">
        <f t="shared" si="5"/>
        <v>0</v>
      </c>
      <c r="AR25" s="13">
        <f t="shared" si="6"/>
        <v>0</v>
      </c>
    </row>
    <row r="26" spans="1:44" hidden="1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2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3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4"/>
        <v>0</v>
      </c>
      <c r="AQ26" s="4">
        <f t="shared" si="5"/>
        <v>0</v>
      </c>
      <c r="AR26" s="13">
        <f t="shared" si="6"/>
        <v>0</v>
      </c>
    </row>
    <row r="27" spans="1:44" hidden="1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2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3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4"/>
        <v>0</v>
      </c>
      <c r="AQ27" s="4">
        <f t="shared" si="5"/>
        <v>0</v>
      </c>
      <c r="AR27" s="13">
        <f t="shared" si="6"/>
        <v>0</v>
      </c>
    </row>
    <row r="28" spans="1:44" hidden="1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2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3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4"/>
        <v>0</v>
      </c>
      <c r="AQ28" s="4">
        <f t="shared" si="5"/>
        <v>0</v>
      </c>
      <c r="AR28" s="13">
        <f t="shared" si="6"/>
        <v>0</v>
      </c>
    </row>
    <row r="29" spans="1:44" hidden="1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2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3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4"/>
        <v>0</v>
      </c>
      <c r="AQ29" s="4">
        <f t="shared" si="5"/>
        <v>0</v>
      </c>
      <c r="AR29" s="13">
        <f t="shared" si="6"/>
        <v>0</v>
      </c>
    </row>
    <row r="30" spans="1:44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2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3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4"/>
        <v>0</v>
      </c>
      <c r="AQ30" s="4">
        <f t="shared" si="5"/>
        <v>0</v>
      </c>
      <c r="AR30" s="13">
        <f t="shared" si="6"/>
        <v>0</v>
      </c>
    </row>
    <row r="31" spans="1:44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2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3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4"/>
        <v>0</v>
      </c>
      <c r="AQ31" s="4">
        <f t="shared" si="5"/>
        <v>0</v>
      </c>
      <c r="AR31" s="13">
        <f t="shared" si="6"/>
        <v>0</v>
      </c>
    </row>
    <row r="32" spans="1:44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2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3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4"/>
        <v>0</v>
      </c>
      <c r="AQ32" s="4">
        <f t="shared" si="5"/>
        <v>0</v>
      </c>
      <c r="AR32" s="13">
        <f t="shared" si="6"/>
        <v>0</v>
      </c>
    </row>
    <row r="33" spans="1:44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2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3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4"/>
        <v>0</v>
      </c>
      <c r="AQ33" s="4">
        <f t="shared" si="5"/>
        <v>0</v>
      </c>
      <c r="AR33" s="13">
        <f t="shared" si="6"/>
        <v>0</v>
      </c>
    </row>
    <row r="34" spans="1:44" x14ac:dyDescent="0.35">
      <c r="A34" s="5"/>
      <c r="B34" s="5" t="s">
        <v>9</v>
      </c>
      <c r="C34" s="5" t="s">
        <v>17</v>
      </c>
      <c r="D34" s="4">
        <v>425750</v>
      </c>
      <c r="E34" s="4">
        <v>425750</v>
      </c>
      <c r="F34" s="4">
        <v>425750</v>
      </c>
      <c r="G34" s="4">
        <v>424150.02</v>
      </c>
      <c r="H34" s="4">
        <v>425750</v>
      </c>
      <c r="I34" s="4">
        <v>425750</v>
      </c>
      <c r="J34" s="4">
        <v>447000</v>
      </c>
      <c r="K34" s="4">
        <f>125713.29+447000</f>
        <v>572713.29</v>
      </c>
      <c r="L34" s="4">
        <v>447000</v>
      </c>
      <c r="M34" s="4">
        <v>447000</v>
      </c>
      <c r="N34" s="4">
        <v>447000</v>
      </c>
      <c r="O34" s="4">
        <v>447000</v>
      </c>
      <c r="P34" s="4">
        <f t="shared" si="2"/>
        <v>5360613.3100000005</v>
      </c>
      <c r="Q34" s="4">
        <v>13500</v>
      </c>
      <c r="R34" s="4">
        <v>13500</v>
      </c>
      <c r="S34" s="4">
        <v>13500</v>
      </c>
      <c r="T34" s="4">
        <v>13500</v>
      </c>
      <c r="U34" s="4">
        <v>13500</v>
      </c>
      <c r="V34" s="4">
        <f>3657+58056+13500</f>
        <v>75213</v>
      </c>
      <c r="W34" s="4">
        <v>13500</v>
      </c>
      <c r="X34" s="4">
        <f>16+7.02+13500</f>
        <v>13523.02</v>
      </c>
      <c r="Y34" s="4">
        <v>13500</v>
      </c>
      <c r="Z34" s="4">
        <v>13500</v>
      </c>
      <c r="AA34" s="4">
        <v>13500</v>
      </c>
      <c r="AB34" s="4">
        <v>13500</v>
      </c>
      <c r="AC34" s="4">
        <f t="shared" si="3"/>
        <v>223736.02</v>
      </c>
      <c r="AD34" s="4">
        <v>12033</v>
      </c>
      <c r="AE34" s="4">
        <v>12033</v>
      </c>
      <c r="AF34" s="4">
        <v>12033</v>
      </c>
      <c r="AG34" s="4">
        <v>12006.63</v>
      </c>
      <c r="AH34" s="4">
        <v>12033</v>
      </c>
      <c r="AI34" s="4">
        <v>12033</v>
      </c>
      <c r="AJ34" s="4">
        <v>12637</v>
      </c>
      <c r="AK34" s="4">
        <f>3575+12637</f>
        <v>16212</v>
      </c>
      <c r="AL34" s="4">
        <v>12637</v>
      </c>
      <c r="AM34" s="4">
        <v>10325</v>
      </c>
      <c r="AN34" s="4">
        <v>10325</v>
      </c>
      <c r="AO34" s="4">
        <v>10325</v>
      </c>
      <c r="AP34" s="4">
        <f t="shared" si="4"/>
        <v>144632.63</v>
      </c>
      <c r="AQ34" s="4">
        <f t="shared" si="5"/>
        <v>5728981.96</v>
      </c>
      <c r="AR34" s="13">
        <f>+AQ34</f>
        <v>5728981.96</v>
      </c>
    </row>
    <row r="35" spans="1:44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2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3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4"/>
        <v>0</v>
      </c>
      <c r="AQ35" s="4">
        <f t="shared" si="5"/>
        <v>0</v>
      </c>
      <c r="AR35" s="13">
        <f t="shared" si="6"/>
        <v>0</v>
      </c>
    </row>
    <row r="36" spans="1:44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3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4"/>
        <v>0</v>
      </c>
      <c r="AQ36" s="4">
        <f t="shared" si="5"/>
        <v>0</v>
      </c>
      <c r="AR36" s="13">
        <f t="shared" si="6"/>
        <v>0</v>
      </c>
    </row>
    <row r="37" spans="1:44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2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3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4"/>
        <v>0</v>
      </c>
      <c r="AQ37" s="4">
        <f t="shared" si="5"/>
        <v>0</v>
      </c>
      <c r="AR37" s="13">
        <f t="shared" si="6"/>
        <v>0</v>
      </c>
    </row>
    <row r="38" spans="1:44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2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3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4"/>
        <v>0</v>
      </c>
      <c r="AQ38" s="4">
        <f t="shared" si="5"/>
        <v>0</v>
      </c>
      <c r="AR38" s="13">
        <f t="shared" si="6"/>
        <v>0</v>
      </c>
    </row>
    <row r="39" spans="1:44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2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>SUM(Q39:AB39)</f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4"/>
        <v>0</v>
      </c>
      <c r="AQ39" s="4">
        <f t="shared" si="5"/>
        <v>0</v>
      </c>
      <c r="AR39" s="13">
        <f t="shared" si="6"/>
        <v>0</v>
      </c>
    </row>
    <row r="40" spans="1:44" s="10" customFormat="1" ht="21.75" thickBot="1" x14ac:dyDescent="0.4">
      <c r="A40" s="8"/>
      <c r="B40" s="8"/>
      <c r="C40" s="8"/>
      <c r="D40" s="9">
        <f>SUM(D6:D39)</f>
        <v>425750</v>
      </c>
      <c r="E40" s="9">
        <f t="shared" ref="E40:O40" si="7">SUM(E6:E39)</f>
        <v>425750</v>
      </c>
      <c r="F40" s="9">
        <f t="shared" si="7"/>
        <v>425750</v>
      </c>
      <c r="G40" s="9">
        <f t="shared" si="7"/>
        <v>424150.02</v>
      </c>
      <c r="H40" s="9">
        <f t="shared" si="7"/>
        <v>425750</v>
      </c>
      <c r="I40" s="9">
        <f t="shared" si="7"/>
        <v>425750</v>
      </c>
      <c r="J40" s="9">
        <f t="shared" si="7"/>
        <v>447000</v>
      </c>
      <c r="K40" s="9">
        <f t="shared" si="7"/>
        <v>572713.29</v>
      </c>
      <c r="L40" s="9">
        <f t="shared" si="7"/>
        <v>447000</v>
      </c>
      <c r="M40" s="9">
        <f t="shared" si="7"/>
        <v>447000</v>
      </c>
      <c r="N40" s="9">
        <f t="shared" si="7"/>
        <v>447000</v>
      </c>
      <c r="O40" s="9">
        <f t="shared" si="7"/>
        <v>447000</v>
      </c>
      <c r="P40" s="25">
        <f t="shared" si="2"/>
        <v>5360613.3100000005</v>
      </c>
      <c r="Q40" s="9">
        <f>SUM(Q6:Q39)</f>
        <v>13500</v>
      </c>
      <c r="R40" s="9">
        <f t="shared" ref="R40:AB40" si="8">SUM(R6:R39)</f>
        <v>13500</v>
      </c>
      <c r="S40" s="9">
        <f t="shared" si="8"/>
        <v>13500</v>
      </c>
      <c r="T40" s="9">
        <f t="shared" si="8"/>
        <v>13500</v>
      </c>
      <c r="U40" s="9">
        <f t="shared" si="8"/>
        <v>13500</v>
      </c>
      <c r="V40" s="9">
        <f t="shared" si="8"/>
        <v>75213</v>
      </c>
      <c r="W40" s="9">
        <f t="shared" si="8"/>
        <v>13500</v>
      </c>
      <c r="X40" s="9">
        <f t="shared" si="8"/>
        <v>13523.02</v>
      </c>
      <c r="Y40" s="9">
        <f t="shared" si="8"/>
        <v>13500</v>
      </c>
      <c r="Z40" s="9">
        <f t="shared" si="8"/>
        <v>13500</v>
      </c>
      <c r="AA40" s="9">
        <f t="shared" si="8"/>
        <v>13500</v>
      </c>
      <c r="AB40" s="9">
        <f t="shared" si="8"/>
        <v>13500</v>
      </c>
      <c r="AC40" s="25">
        <f>SUM(Q40:AB40)</f>
        <v>223736.02</v>
      </c>
      <c r="AD40" s="9">
        <f>SUM(AD6:AD39)</f>
        <v>12033</v>
      </c>
      <c r="AE40" s="9">
        <f t="shared" ref="AE40:AO40" si="9">SUM(AE6:AE39)</f>
        <v>12033</v>
      </c>
      <c r="AF40" s="9">
        <f t="shared" si="9"/>
        <v>12033</v>
      </c>
      <c r="AG40" s="9">
        <f t="shared" si="9"/>
        <v>12006.63</v>
      </c>
      <c r="AH40" s="9">
        <f t="shared" si="9"/>
        <v>12033</v>
      </c>
      <c r="AI40" s="9">
        <f t="shared" si="9"/>
        <v>12033</v>
      </c>
      <c r="AJ40" s="9">
        <f t="shared" si="9"/>
        <v>12637</v>
      </c>
      <c r="AK40" s="9">
        <f t="shared" si="9"/>
        <v>16212</v>
      </c>
      <c r="AL40" s="9">
        <f t="shared" si="9"/>
        <v>12637</v>
      </c>
      <c r="AM40" s="9">
        <f t="shared" si="9"/>
        <v>10325</v>
      </c>
      <c r="AN40" s="9">
        <f t="shared" si="9"/>
        <v>10325</v>
      </c>
      <c r="AO40" s="9">
        <f t="shared" si="9"/>
        <v>10325</v>
      </c>
      <c r="AP40" s="25">
        <f t="shared" si="4"/>
        <v>144632.63</v>
      </c>
      <c r="AQ40" s="25">
        <f t="shared" si="5"/>
        <v>5728981.96</v>
      </c>
      <c r="AR40" s="26">
        <f>+AQ40</f>
        <v>5728981.96</v>
      </c>
    </row>
    <row r="41" spans="1:44" ht="21.75" thickTop="1" x14ac:dyDescent="0.35"/>
    <row r="42" spans="1:44" hidden="1" x14ac:dyDescent="0.35">
      <c r="A42" s="1" t="s">
        <v>301</v>
      </c>
    </row>
    <row r="43" spans="1:44" hidden="1" x14ac:dyDescent="0.35">
      <c r="A43" s="71" t="s">
        <v>297</v>
      </c>
    </row>
    <row r="44" spans="1:44" hidden="1" x14ac:dyDescent="0.35">
      <c r="A44" s="1" t="s">
        <v>302</v>
      </c>
    </row>
    <row r="45" spans="1:44" hidden="1" x14ac:dyDescent="0.35">
      <c r="A45" s="1" t="s">
        <v>298</v>
      </c>
      <c r="K45" s="1">
        <v>125713.29</v>
      </c>
      <c r="X45" s="1">
        <v>16</v>
      </c>
      <c r="AK45" s="1">
        <v>3575</v>
      </c>
    </row>
    <row r="46" spans="1:44" hidden="1" x14ac:dyDescent="0.35">
      <c r="A46" s="1" t="s">
        <v>364</v>
      </c>
      <c r="V46" s="1">
        <f>3657+58056</f>
        <v>61713</v>
      </c>
      <c r="X46" s="1">
        <v>7.02</v>
      </c>
    </row>
    <row r="47" spans="1:44" hidden="1" x14ac:dyDescent="0.35">
      <c r="A47" s="53" t="s">
        <v>115</v>
      </c>
    </row>
    <row r="48" spans="1:44" hidden="1" x14ac:dyDescent="0.35"/>
    <row r="49" hidden="1" x14ac:dyDescent="0.35"/>
  </sheetData>
  <mergeCells count="9">
    <mergeCell ref="A1:F1"/>
    <mergeCell ref="A3:A4"/>
    <mergeCell ref="B3:B4"/>
    <mergeCell ref="D3:AQ3"/>
    <mergeCell ref="AR3:AR4"/>
    <mergeCell ref="D4:P4"/>
    <mergeCell ref="Q4:AC4"/>
    <mergeCell ref="AD4:AP4"/>
    <mergeCell ref="AQ4:AQ5"/>
  </mergeCells>
  <pageMargins left="0.7" right="0.7" top="0.75" bottom="0.75" header="0.3" footer="0.3"/>
  <pageSetup paperSize="9" scale="65" orientation="landscape" horizontalDpi="4294967295" verticalDpi="4294967295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49"/>
  <sheetViews>
    <sheetView showGridLines="0" tabSelected="1" zoomScale="70" zoomScaleNormal="70" workbookViewId="0">
      <pane xSplit="3" ySplit="6" topLeftCell="D33" activePane="bottomRight" state="frozen"/>
      <selection pane="topRight" activeCell="D1" sqref="D1"/>
      <selection pane="bottomLeft" activeCell="A7" sqref="A7"/>
      <selection pane="bottomRight" activeCell="BB54" sqref="BB54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2.375" style="3" hidden="1" customWidth="1"/>
    <col min="7" max="15" width="12.375" style="1" hidden="1" customWidth="1"/>
    <col min="16" max="16" width="12.375" style="1" bestFit="1" customWidth="1"/>
    <col min="17" max="28" width="11.125" style="1" hidden="1" customWidth="1"/>
    <col min="29" max="29" width="11.25" style="1" bestFit="1" customWidth="1"/>
    <col min="30" max="41" width="9.25" style="1" hidden="1" customWidth="1"/>
    <col min="42" max="42" width="10.125" style="1" bestFit="1" customWidth="1"/>
    <col min="43" max="44" width="12.375" style="1" bestFit="1" customWidth="1"/>
    <col min="45" max="16384" width="9" style="1"/>
  </cols>
  <sheetData>
    <row r="1" spans="1:44" x14ac:dyDescent="0.35">
      <c r="A1" s="97" t="s">
        <v>119</v>
      </c>
      <c r="B1" s="98"/>
      <c r="C1" s="98"/>
      <c r="D1" s="98"/>
      <c r="E1" s="98"/>
      <c r="F1" s="98"/>
    </row>
    <row r="2" spans="1:44" s="12" customFormat="1" x14ac:dyDescent="0.35">
      <c r="A2" s="32"/>
      <c r="B2" s="32"/>
      <c r="C2" s="32"/>
      <c r="D2" s="32"/>
      <c r="E2" s="32"/>
      <c r="F2" s="32"/>
    </row>
    <row r="3" spans="1:44" s="2" customFormat="1" x14ac:dyDescent="0.35">
      <c r="A3" s="92" t="s">
        <v>0</v>
      </c>
      <c r="B3" s="92" t="s">
        <v>14</v>
      </c>
      <c r="C3" s="30"/>
      <c r="D3" s="89" t="s">
        <v>56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92" t="s">
        <v>16</v>
      </c>
    </row>
    <row r="4" spans="1:44" s="2" customFormat="1" x14ac:dyDescent="0.35">
      <c r="A4" s="93"/>
      <c r="B4" s="93"/>
      <c r="C4" s="3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3"/>
    </row>
    <row r="5" spans="1:44" s="2" customFormat="1" x14ac:dyDescent="0.35">
      <c r="A5" s="31"/>
      <c r="B5" s="31"/>
      <c r="C5" s="3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24"/>
    </row>
    <row r="6" spans="1:44" hidden="1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13">
        <f>+AQ6</f>
        <v>0</v>
      </c>
    </row>
    <row r="7" spans="1:44" hidden="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2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3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4">SUM(AD7:AO7)</f>
        <v>0</v>
      </c>
      <c r="AQ7" s="4">
        <f t="shared" ref="AQ7:AQ40" si="5">+P7+AC7+AP7</f>
        <v>0</v>
      </c>
      <c r="AR7" s="13">
        <f t="shared" ref="AR7:AR39" si="6">+AQ7</f>
        <v>0</v>
      </c>
    </row>
    <row r="8" spans="1:44" hidden="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2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3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4"/>
        <v>0</v>
      </c>
      <c r="AQ8" s="4">
        <f t="shared" si="5"/>
        <v>0</v>
      </c>
      <c r="AR8" s="13">
        <f t="shared" si="6"/>
        <v>0</v>
      </c>
    </row>
    <row r="9" spans="1:44" hidden="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2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3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4"/>
        <v>0</v>
      </c>
      <c r="AQ9" s="4">
        <f t="shared" si="5"/>
        <v>0</v>
      </c>
      <c r="AR9" s="13">
        <f t="shared" si="6"/>
        <v>0</v>
      </c>
    </row>
    <row r="10" spans="1:44" hidden="1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2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3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4"/>
        <v>0</v>
      </c>
      <c r="AQ10" s="4">
        <f t="shared" si="5"/>
        <v>0</v>
      </c>
      <c r="AR10" s="13">
        <f t="shared" si="6"/>
        <v>0</v>
      </c>
    </row>
    <row r="11" spans="1:44" hidden="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2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3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4"/>
        <v>0</v>
      </c>
      <c r="AQ11" s="4">
        <f t="shared" si="5"/>
        <v>0</v>
      </c>
      <c r="AR11" s="13">
        <f t="shared" si="6"/>
        <v>0</v>
      </c>
    </row>
    <row r="12" spans="1:44" hidden="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2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3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4"/>
        <v>0</v>
      </c>
      <c r="AQ12" s="4">
        <f t="shared" si="5"/>
        <v>0</v>
      </c>
      <c r="AR12" s="13">
        <f t="shared" si="6"/>
        <v>0</v>
      </c>
    </row>
    <row r="13" spans="1:44" hidden="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2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3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4"/>
        <v>0</v>
      </c>
      <c r="AQ13" s="4">
        <f t="shared" si="5"/>
        <v>0</v>
      </c>
      <c r="AR13" s="13">
        <f t="shared" si="6"/>
        <v>0</v>
      </c>
    </row>
    <row r="14" spans="1:44" hidden="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2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3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4"/>
        <v>0</v>
      </c>
      <c r="AQ14" s="4">
        <f t="shared" si="5"/>
        <v>0</v>
      </c>
      <c r="AR14" s="13">
        <f t="shared" si="6"/>
        <v>0</v>
      </c>
    </row>
    <row r="15" spans="1:44" hidden="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2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3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4"/>
        <v>0</v>
      </c>
      <c r="AQ15" s="4">
        <f t="shared" si="5"/>
        <v>0</v>
      </c>
      <c r="AR15" s="13">
        <f t="shared" si="6"/>
        <v>0</v>
      </c>
    </row>
    <row r="16" spans="1:44" hidden="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2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3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4"/>
        <v>0</v>
      </c>
      <c r="AQ16" s="4">
        <f t="shared" si="5"/>
        <v>0</v>
      </c>
      <c r="AR16" s="13">
        <f t="shared" si="6"/>
        <v>0</v>
      </c>
    </row>
    <row r="17" spans="1:44" hidden="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2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3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4"/>
        <v>0</v>
      </c>
      <c r="AQ17" s="4">
        <f t="shared" si="5"/>
        <v>0</v>
      </c>
      <c r="AR17" s="13">
        <f t="shared" si="6"/>
        <v>0</v>
      </c>
    </row>
    <row r="18" spans="1:44" hidden="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2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3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4"/>
        <v>0</v>
      </c>
      <c r="AQ18" s="4">
        <f t="shared" si="5"/>
        <v>0</v>
      </c>
      <c r="AR18" s="13">
        <f t="shared" si="6"/>
        <v>0</v>
      </c>
    </row>
    <row r="19" spans="1:44" hidden="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2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3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4"/>
        <v>0</v>
      </c>
      <c r="AQ19" s="4">
        <f t="shared" si="5"/>
        <v>0</v>
      </c>
      <c r="AR19" s="13">
        <f t="shared" si="6"/>
        <v>0</v>
      </c>
    </row>
    <row r="20" spans="1:44" hidden="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2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3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4"/>
        <v>0</v>
      </c>
      <c r="AQ20" s="4">
        <f t="shared" si="5"/>
        <v>0</v>
      </c>
      <c r="AR20" s="13">
        <f t="shared" si="6"/>
        <v>0</v>
      </c>
    </row>
    <row r="21" spans="1:44" hidden="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2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3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4"/>
        <v>0</v>
      </c>
      <c r="AQ21" s="4">
        <f t="shared" si="5"/>
        <v>0</v>
      </c>
      <c r="AR21" s="13">
        <f t="shared" si="6"/>
        <v>0</v>
      </c>
    </row>
    <row r="22" spans="1:44" hidden="1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2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3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4"/>
        <v>0</v>
      </c>
      <c r="AQ22" s="4">
        <f t="shared" si="5"/>
        <v>0</v>
      </c>
      <c r="AR22" s="13">
        <f t="shared" si="6"/>
        <v>0</v>
      </c>
    </row>
    <row r="23" spans="1:44" hidden="1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2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3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4"/>
        <v>0</v>
      </c>
      <c r="AQ23" s="4">
        <f t="shared" si="5"/>
        <v>0</v>
      </c>
      <c r="AR23" s="13">
        <f t="shared" si="6"/>
        <v>0</v>
      </c>
    </row>
    <row r="24" spans="1:44" hidden="1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2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3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4"/>
        <v>0</v>
      </c>
      <c r="AQ24" s="4">
        <f t="shared" si="5"/>
        <v>0</v>
      </c>
      <c r="AR24" s="13">
        <f t="shared" si="6"/>
        <v>0</v>
      </c>
    </row>
    <row r="25" spans="1:44" hidden="1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2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3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4"/>
        <v>0</v>
      </c>
      <c r="AQ25" s="4">
        <f t="shared" si="5"/>
        <v>0</v>
      </c>
      <c r="AR25" s="13">
        <f t="shared" si="6"/>
        <v>0</v>
      </c>
    </row>
    <row r="26" spans="1:44" hidden="1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2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3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4"/>
        <v>0</v>
      </c>
      <c r="AQ26" s="4">
        <f t="shared" si="5"/>
        <v>0</v>
      </c>
      <c r="AR26" s="13">
        <f t="shared" si="6"/>
        <v>0</v>
      </c>
    </row>
    <row r="27" spans="1:44" hidden="1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2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3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4"/>
        <v>0</v>
      </c>
      <c r="AQ27" s="4">
        <f t="shared" si="5"/>
        <v>0</v>
      </c>
      <c r="AR27" s="13">
        <f t="shared" si="6"/>
        <v>0</v>
      </c>
    </row>
    <row r="28" spans="1:44" hidden="1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2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3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4"/>
        <v>0</v>
      </c>
      <c r="AQ28" s="4">
        <f t="shared" si="5"/>
        <v>0</v>
      </c>
      <c r="AR28" s="13">
        <f t="shared" si="6"/>
        <v>0</v>
      </c>
    </row>
    <row r="29" spans="1:44" hidden="1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2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3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4"/>
        <v>0</v>
      </c>
      <c r="AQ29" s="4">
        <f t="shared" si="5"/>
        <v>0</v>
      </c>
      <c r="AR29" s="13">
        <f t="shared" si="6"/>
        <v>0</v>
      </c>
    </row>
    <row r="30" spans="1:44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2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3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4"/>
        <v>0</v>
      </c>
      <c r="AQ30" s="4">
        <f t="shared" si="5"/>
        <v>0</v>
      </c>
      <c r="AR30" s="13">
        <f t="shared" si="6"/>
        <v>0</v>
      </c>
    </row>
    <row r="31" spans="1:44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2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3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4"/>
        <v>0</v>
      </c>
      <c r="AQ31" s="4">
        <f t="shared" si="5"/>
        <v>0</v>
      </c>
      <c r="AR31" s="13">
        <f t="shared" si="6"/>
        <v>0</v>
      </c>
    </row>
    <row r="32" spans="1:44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2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3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4"/>
        <v>0</v>
      </c>
      <c r="AQ32" s="4">
        <f t="shared" si="5"/>
        <v>0</v>
      </c>
      <c r="AR32" s="13">
        <f t="shared" si="6"/>
        <v>0</v>
      </c>
    </row>
    <row r="33" spans="1:44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2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3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4"/>
        <v>0</v>
      </c>
      <c r="AQ33" s="4">
        <f t="shared" si="5"/>
        <v>0</v>
      </c>
      <c r="AR33" s="13">
        <f t="shared" si="6"/>
        <v>0</v>
      </c>
    </row>
    <row r="34" spans="1:44" x14ac:dyDescent="0.35">
      <c r="A34" s="5"/>
      <c r="B34" s="5" t="s">
        <v>9</v>
      </c>
      <c r="C34" s="5" t="s">
        <v>17</v>
      </c>
      <c r="D34" s="4">
        <v>42820</v>
      </c>
      <c r="E34" s="4">
        <v>42820</v>
      </c>
      <c r="F34" s="4">
        <v>42820</v>
      </c>
      <c r="G34" s="4">
        <v>42820</v>
      </c>
      <c r="H34" s="4">
        <v>42820</v>
      </c>
      <c r="I34" s="4">
        <v>42820</v>
      </c>
      <c r="J34" s="4">
        <v>44950</v>
      </c>
      <c r="K34" s="4">
        <f>12780+44950</f>
        <v>57730</v>
      </c>
      <c r="L34" s="4">
        <v>44950</v>
      </c>
      <c r="M34" s="4">
        <v>44950</v>
      </c>
      <c r="N34" s="4">
        <v>44950</v>
      </c>
      <c r="O34" s="4">
        <v>44950</v>
      </c>
      <c r="P34" s="4">
        <f t="shared" si="2"/>
        <v>539400</v>
      </c>
      <c r="Q34" s="4">
        <v>1500</v>
      </c>
      <c r="R34" s="4">
        <v>1500</v>
      </c>
      <c r="S34" s="4">
        <v>1500</v>
      </c>
      <c r="T34" s="4">
        <v>1500</v>
      </c>
      <c r="U34" s="4">
        <v>1500</v>
      </c>
      <c r="V34" s="4">
        <v>1500</v>
      </c>
      <c r="W34" s="4">
        <v>1500</v>
      </c>
      <c r="X34" s="4">
        <f>2.6+1500</f>
        <v>1502.6</v>
      </c>
      <c r="Y34" s="4">
        <v>1500</v>
      </c>
      <c r="Z34" s="4">
        <v>1500</v>
      </c>
      <c r="AA34" s="4">
        <v>1500</v>
      </c>
      <c r="AB34" s="4">
        <v>1500</v>
      </c>
      <c r="AC34" s="4">
        <f t="shared" si="3"/>
        <v>18002.599999999999</v>
      </c>
      <c r="AD34" s="4">
        <v>688</v>
      </c>
      <c r="AE34" s="4">
        <v>688</v>
      </c>
      <c r="AF34" s="4">
        <v>688</v>
      </c>
      <c r="AG34" s="4">
        <v>688</v>
      </c>
      <c r="AH34" s="4">
        <v>688</v>
      </c>
      <c r="AI34" s="4">
        <v>688</v>
      </c>
      <c r="AJ34" s="4">
        <v>722</v>
      </c>
      <c r="AK34" s="4">
        <f>204+722</f>
        <v>926</v>
      </c>
      <c r="AL34" s="4">
        <v>722</v>
      </c>
      <c r="AM34" s="4">
        <v>722</v>
      </c>
      <c r="AN34" s="4">
        <v>722</v>
      </c>
      <c r="AO34" s="4">
        <v>722</v>
      </c>
      <c r="AP34" s="4">
        <f t="shared" si="4"/>
        <v>8664</v>
      </c>
      <c r="AQ34" s="4">
        <f t="shared" si="5"/>
        <v>566066.6</v>
      </c>
      <c r="AR34" s="13">
        <f t="shared" si="6"/>
        <v>566066.6</v>
      </c>
    </row>
    <row r="35" spans="1:44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2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3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4"/>
        <v>0</v>
      </c>
      <c r="AQ35" s="4">
        <f t="shared" si="5"/>
        <v>0</v>
      </c>
      <c r="AR35" s="13">
        <f t="shared" si="6"/>
        <v>0</v>
      </c>
    </row>
    <row r="36" spans="1:44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3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4"/>
        <v>0</v>
      </c>
      <c r="AQ36" s="4">
        <f t="shared" si="5"/>
        <v>0</v>
      </c>
      <c r="AR36" s="13">
        <f t="shared" si="6"/>
        <v>0</v>
      </c>
    </row>
    <row r="37" spans="1:44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2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3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4"/>
        <v>0</v>
      </c>
      <c r="AQ37" s="4">
        <f t="shared" si="5"/>
        <v>0</v>
      </c>
      <c r="AR37" s="13">
        <f t="shared" si="6"/>
        <v>0</v>
      </c>
    </row>
    <row r="38" spans="1:44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2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3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4"/>
        <v>0</v>
      </c>
      <c r="AQ38" s="4">
        <f t="shared" si="5"/>
        <v>0</v>
      </c>
      <c r="AR38" s="13">
        <f t="shared" si="6"/>
        <v>0</v>
      </c>
    </row>
    <row r="39" spans="1:44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2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3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4"/>
        <v>0</v>
      </c>
      <c r="AQ39" s="4">
        <f t="shared" si="5"/>
        <v>0</v>
      </c>
      <c r="AR39" s="13">
        <f t="shared" si="6"/>
        <v>0</v>
      </c>
    </row>
    <row r="40" spans="1:44" s="10" customFormat="1" ht="21.75" thickBot="1" x14ac:dyDescent="0.4">
      <c r="A40" s="8"/>
      <c r="B40" s="8"/>
      <c r="C40" s="8"/>
      <c r="D40" s="9">
        <f>SUM(D6:D39)</f>
        <v>42820</v>
      </c>
      <c r="E40" s="9">
        <f t="shared" ref="E40:O40" si="7">SUM(E6:E39)</f>
        <v>42820</v>
      </c>
      <c r="F40" s="9">
        <f t="shared" si="7"/>
        <v>42820</v>
      </c>
      <c r="G40" s="9">
        <f t="shared" si="7"/>
        <v>42820</v>
      </c>
      <c r="H40" s="9">
        <f t="shared" si="7"/>
        <v>42820</v>
      </c>
      <c r="I40" s="9">
        <f t="shared" si="7"/>
        <v>42820</v>
      </c>
      <c r="J40" s="9">
        <f t="shared" si="7"/>
        <v>44950</v>
      </c>
      <c r="K40" s="9">
        <f t="shared" si="7"/>
        <v>57730</v>
      </c>
      <c r="L40" s="9">
        <f t="shared" si="7"/>
        <v>44950</v>
      </c>
      <c r="M40" s="9">
        <f t="shared" si="7"/>
        <v>44950</v>
      </c>
      <c r="N40" s="9">
        <f t="shared" si="7"/>
        <v>44950</v>
      </c>
      <c r="O40" s="9">
        <f t="shared" si="7"/>
        <v>44950</v>
      </c>
      <c r="P40" s="25">
        <f t="shared" si="2"/>
        <v>539400</v>
      </c>
      <c r="Q40" s="9">
        <f>SUM(Q6:Q39)</f>
        <v>1500</v>
      </c>
      <c r="R40" s="9">
        <f t="shared" ref="R40:AB40" si="8">SUM(R6:R39)</f>
        <v>1500</v>
      </c>
      <c r="S40" s="9">
        <f t="shared" si="8"/>
        <v>1500</v>
      </c>
      <c r="T40" s="9">
        <f t="shared" si="8"/>
        <v>1500</v>
      </c>
      <c r="U40" s="9">
        <f t="shared" si="8"/>
        <v>1500</v>
      </c>
      <c r="V40" s="9">
        <f t="shared" si="8"/>
        <v>1500</v>
      </c>
      <c r="W40" s="9">
        <f t="shared" si="8"/>
        <v>1500</v>
      </c>
      <c r="X40" s="9">
        <f t="shared" si="8"/>
        <v>1502.6</v>
      </c>
      <c r="Y40" s="9">
        <f t="shared" si="8"/>
        <v>1500</v>
      </c>
      <c r="Z40" s="9">
        <f t="shared" si="8"/>
        <v>1500</v>
      </c>
      <c r="AA40" s="9">
        <f t="shared" si="8"/>
        <v>1500</v>
      </c>
      <c r="AB40" s="9">
        <f t="shared" si="8"/>
        <v>1500</v>
      </c>
      <c r="AC40" s="25">
        <f t="shared" si="3"/>
        <v>18002.599999999999</v>
      </c>
      <c r="AD40" s="9">
        <f>SUM(AD6:AD39)</f>
        <v>688</v>
      </c>
      <c r="AE40" s="9">
        <f t="shared" ref="AE40:AO40" si="9">SUM(AE6:AE39)</f>
        <v>688</v>
      </c>
      <c r="AF40" s="9">
        <f t="shared" si="9"/>
        <v>688</v>
      </c>
      <c r="AG40" s="9">
        <f t="shared" si="9"/>
        <v>688</v>
      </c>
      <c r="AH40" s="9">
        <f t="shared" si="9"/>
        <v>688</v>
      </c>
      <c r="AI40" s="9">
        <f t="shared" si="9"/>
        <v>688</v>
      </c>
      <c r="AJ40" s="9">
        <f t="shared" si="9"/>
        <v>722</v>
      </c>
      <c r="AK40" s="9">
        <f t="shared" si="9"/>
        <v>926</v>
      </c>
      <c r="AL40" s="9">
        <f t="shared" si="9"/>
        <v>722</v>
      </c>
      <c r="AM40" s="9">
        <f t="shared" si="9"/>
        <v>722</v>
      </c>
      <c r="AN40" s="9">
        <f t="shared" si="9"/>
        <v>722</v>
      </c>
      <c r="AO40" s="9">
        <f t="shared" si="9"/>
        <v>722</v>
      </c>
      <c r="AP40" s="25">
        <f t="shared" si="4"/>
        <v>8664</v>
      </c>
      <c r="AQ40" s="25">
        <f t="shared" si="5"/>
        <v>566066.6</v>
      </c>
      <c r="AR40" s="26">
        <f>+AQ40</f>
        <v>566066.6</v>
      </c>
    </row>
    <row r="41" spans="1:44" ht="21.75" thickTop="1" x14ac:dyDescent="0.35"/>
    <row r="42" spans="1:44" hidden="1" x14ac:dyDescent="0.35">
      <c r="A42" s="1" t="s">
        <v>301</v>
      </c>
    </row>
    <row r="43" spans="1:44" hidden="1" x14ac:dyDescent="0.35">
      <c r="A43" s="71" t="s">
        <v>297</v>
      </c>
    </row>
    <row r="44" spans="1:44" hidden="1" x14ac:dyDescent="0.35">
      <c r="A44" s="1" t="s">
        <v>302</v>
      </c>
    </row>
    <row r="45" spans="1:44" hidden="1" x14ac:dyDescent="0.35">
      <c r="A45" s="1" t="s">
        <v>298</v>
      </c>
      <c r="K45" s="1">
        <v>12780</v>
      </c>
    </row>
    <row r="46" spans="1:44" hidden="1" x14ac:dyDescent="0.35">
      <c r="A46" s="53" t="s">
        <v>364</v>
      </c>
      <c r="X46" s="1">
        <v>2.6</v>
      </c>
    </row>
    <row r="47" spans="1:44" hidden="1" x14ac:dyDescent="0.35">
      <c r="A47" s="53" t="s">
        <v>115</v>
      </c>
    </row>
    <row r="48" spans="1:44" hidden="1" x14ac:dyDescent="0.35"/>
    <row r="49" hidden="1" x14ac:dyDescent="0.35"/>
  </sheetData>
  <mergeCells count="9">
    <mergeCell ref="A1:F1"/>
    <mergeCell ref="A3:A4"/>
    <mergeCell ref="B3:B4"/>
    <mergeCell ref="D3:AQ3"/>
    <mergeCell ref="AR3:AR4"/>
    <mergeCell ref="D4:P4"/>
    <mergeCell ref="Q4:AC4"/>
    <mergeCell ref="AD4:AP4"/>
    <mergeCell ref="AQ4:AQ5"/>
  </mergeCells>
  <pageMargins left="0.7" right="0.7" top="0.75" bottom="0.75" header="0.3" footer="0.3"/>
  <pageSetup paperSize="9" scale="65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BM75"/>
  <sheetViews>
    <sheetView showGridLines="0" zoomScale="70" zoomScaleNormal="70" workbookViewId="0">
      <pane xSplit="2" ySplit="3" topLeftCell="C4" activePane="bottomRight" state="frozen"/>
      <selection activeCell="C3" sqref="C3"/>
      <selection pane="topRight" activeCell="C3" sqref="C3"/>
      <selection pane="bottomLeft" activeCell="C3" sqref="C3"/>
      <selection pane="bottomRight" activeCell="C3" sqref="C3"/>
    </sheetView>
  </sheetViews>
  <sheetFormatPr defaultColWidth="9.125" defaultRowHeight="21" x14ac:dyDescent="0.35"/>
  <cols>
    <col min="1" max="1" width="9.125" style="1"/>
    <col min="2" max="2" width="36.375" style="1" bestFit="1" customWidth="1"/>
    <col min="3" max="4" width="14.125" style="1" bestFit="1" customWidth="1"/>
    <col min="5" max="5" width="12.375" style="1" bestFit="1" customWidth="1"/>
    <col min="6" max="6" width="13.875" style="1" bestFit="1" customWidth="1"/>
    <col min="7" max="7" width="13.875" style="1" customWidth="1"/>
    <col min="8" max="9" width="14.125" style="1" bestFit="1" customWidth="1"/>
    <col min="10" max="10" width="12.375" style="1" bestFit="1" customWidth="1"/>
    <col min="11" max="11" width="13.875" style="1" bestFit="1" customWidth="1"/>
    <col min="12" max="12" width="13.875" style="1" customWidth="1"/>
    <col min="13" max="14" width="14.125" style="1" bestFit="1" customWidth="1"/>
    <col min="15" max="15" width="12.375" style="1" bestFit="1" customWidth="1"/>
    <col min="16" max="16" width="13.875" style="1" bestFit="1" customWidth="1"/>
    <col min="17" max="17" width="13.875" style="1" customWidth="1"/>
    <col min="18" max="19" width="14.125" style="1" bestFit="1" customWidth="1"/>
    <col min="20" max="20" width="12.375" style="1" bestFit="1" customWidth="1"/>
    <col min="21" max="21" width="13.875" style="1" bestFit="1" customWidth="1"/>
    <col min="22" max="22" width="13.875" style="1" customWidth="1"/>
    <col min="23" max="24" width="14.125" style="1" bestFit="1" customWidth="1"/>
    <col min="25" max="25" width="12.375" style="1" bestFit="1" customWidth="1"/>
    <col min="26" max="26" width="13.875" style="1" bestFit="1" customWidth="1"/>
    <col min="27" max="27" width="13.875" style="1" customWidth="1"/>
    <col min="28" max="29" width="14.125" style="1" bestFit="1" customWidth="1"/>
    <col min="30" max="30" width="12.375" style="1" bestFit="1" customWidth="1"/>
    <col min="31" max="31" width="13.875" style="1" bestFit="1" customWidth="1"/>
    <col min="32" max="32" width="13.875" style="1" customWidth="1"/>
    <col min="33" max="34" width="14.125" style="1" bestFit="1" customWidth="1"/>
    <col min="35" max="35" width="12.375" style="1" bestFit="1" customWidth="1"/>
    <col min="36" max="37" width="13.375" style="1" customWidth="1"/>
    <col min="38" max="39" width="14.125" style="1" bestFit="1" customWidth="1"/>
    <col min="40" max="40" width="12.375" style="1" bestFit="1" customWidth="1"/>
    <col min="41" max="41" width="13.875" style="1" bestFit="1" customWidth="1"/>
    <col min="42" max="42" width="13.875" style="1" customWidth="1"/>
    <col min="43" max="44" width="14.125" style="1" bestFit="1" customWidth="1"/>
    <col min="45" max="45" width="12.375" style="1" bestFit="1" customWidth="1"/>
    <col min="46" max="46" width="13.875" style="1" bestFit="1" customWidth="1"/>
    <col min="47" max="47" width="13.875" style="1" customWidth="1"/>
    <col min="48" max="49" width="14.125" style="1" bestFit="1" customWidth="1"/>
    <col min="50" max="50" width="12.375" style="1" bestFit="1" customWidth="1"/>
    <col min="51" max="51" width="13.875" style="1" bestFit="1" customWidth="1"/>
    <col min="52" max="52" width="13.875" style="1" customWidth="1"/>
    <col min="53" max="54" width="14.125" style="1" bestFit="1" customWidth="1"/>
    <col min="55" max="55" width="12.375" style="1" bestFit="1" customWidth="1"/>
    <col min="56" max="56" width="13.875" style="1" bestFit="1" customWidth="1"/>
    <col min="57" max="57" width="13.875" style="1" customWidth="1"/>
    <col min="58" max="59" width="14.125" style="1" bestFit="1" customWidth="1"/>
    <col min="60" max="60" width="12.375" style="1" bestFit="1" customWidth="1"/>
    <col min="61" max="61" width="13.875" style="1" bestFit="1" customWidth="1"/>
    <col min="62" max="62" width="13.875" style="1" customWidth="1"/>
    <col min="63" max="63" width="18.875" style="1" bestFit="1" customWidth="1"/>
    <col min="64" max="64" width="16.5" style="1" bestFit="1" customWidth="1"/>
    <col min="65" max="16384" width="9.125" style="1"/>
  </cols>
  <sheetData>
    <row r="1" spans="1:63" x14ac:dyDescent="0.35">
      <c r="A1" s="5" t="s">
        <v>112</v>
      </c>
      <c r="B1" s="5"/>
      <c r="C1" s="105" t="s">
        <v>336</v>
      </c>
      <c r="D1" s="106"/>
      <c r="E1" s="106"/>
      <c r="F1" s="106"/>
      <c r="G1" s="107"/>
      <c r="H1" s="105" t="s">
        <v>337</v>
      </c>
      <c r="I1" s="106"/>
      <c r="J1" s="106"/>
      <c r="K1" s="106"/>
      <c r="L1" s="107"/>
      <c r="M1" s="105" t="s">
        <v>338</v>
      </c>
      <c r="N1" s="106"/>
      <c r="O1" s="106"/>
      <c r="P1" s="106"/>
      <c r="Q1" s="107"/>
      <c r="R1" s="108" t="s">
        <v>339</v>
      </c>
      <c r="S1" s="109"/>
      <c r="T1" s="109"/>
      <c r="U1" s="109"/>
      <c r="V1" s="110"/>
      <c r="W1" s="105" t="s">
        <v>340</v>
      </c>
      <c r="X1" s="106"/>
      <c r="Y1" s="106"/>
      <c r="Z1" s="106"/>
      <c r="AA1" s="107"/>
      <c r="AB1" s="105" t="s">
        <v>341</v>
      </c>
      <c r="AC1" s="106"/>
      <c r="AD1" s="106"/>
      <c r="AE1" s="106"/>
      <c r="AF1" s="107"/>
      <c r="AG1" s="105" t="s">
        <v>342</v>
      </c>
      <c r="AH1" s="106"/>
      <c r="AI1" s="106"/>
      <c r="AJ1" s="106"/>
      <c r="AK1" s="107"/>
      <c r="AL1" s="105" t="s">
        <v>343</v>
      </c>
      <c r="AM1" s="106"/>
      <c r="AN1" s="106"/>
      <c r="AO1" s="106"/>
      <c r="AP1" s="107"/>
      <c r="AQ1" s="105" t="s">
        <v>344</v>
      </c>
      <c r="AR1" s="106"/>
      <c r="AS1" s="106"/>
      <c r="AT1" s="106"/>
      <c r="AU1" s="107"/>
      <c r="AV1" s="105" t="s">
        <v>345</v>
      </c>
      <c r="AW1" s="106"/>
      <c r="AX1" s="106"/>
      <c r="AY1" s="106"/>
      <c r="AZ1" s="107"/>
      <c r="BA1" s="105" t="s">
        <v>346</v>
      </c>
      <c r="BB1" s="106"/>
      <c r="BC1" s="106"/>
      <c r="BD1" s="106"/>
      <c r="BE1" s="107"/>
      <c r="BF1" s="113" t="s">
        <v>347</v>
      </c>
      <c r="BG1" s="114"/>
      <c r="BH1" s="114"/>
      <c r="BI1" s="114"/>
      <c r="BJ1" s="115"/>
      <c r="BK1" s="111" t="s">
        <v>227</v>
      </c>
    </row>
    <row r="2" spans="1:63" x14ac:dyDescent="0.35">
      <c r="A2" s="5" t="s">
        <v>103</v>
      </c>
      <c r="B2" s="5" t="s">
        <v>100</v>
      </c>
      <c r="C2" s="5" t="s">
        <v>17</v>
      </c>
      <c r="D2" s="5" t="s">
        <v>18</v>
      </c>
      <c r="E2" s="5" t="s">
        <v>101</v>
      </c>
      <c r="F2" s="5" t="s">
        <v>102</v>
      </c>
      <c r="G2" s="5" t="s">
        <v>227</v>
      </c>
      <c r="H2" s="5" t="s">
        <v>17</v>
      </c>
      <c r="I2" s="5" t="s">
        <v>18</v>
      </c>
      <c r="J2" s="5" t="s">
        <v>101</v>
      </c>
      <c r="K2" s="5" t="s">
        <v>102</v>
      </c>
      <c r="L2" s="5" t="s">
        <v>227</v>
      </c>
      <c r="M2" s="5" t="s">
        <v>17</v>
      </c>
      <c r="N2" s="5" t="s">
        <v>18</v>
      </c>
      <c r="O2" s="5" t="s">
        <v>101</v>
      </c>
      <c r="P2" s="5" t="s">
        <v>102</v>
      </c>
      <c r="Q2" s="5" t="s">
        <v>227</v>
      </c>
      <c r="R2" s="5" t="s">
        <v>17</v>
      </c>
      <c r="S2" s="5" t="s">
        <v>18</v>
      </c>
      <c r="T2" s="5" t="s">
        <v>101</v>
      </c>
      <c r="U2" s="5" t="s">
        <v>102</v>
      </c>
      <c r="V2" s="5" t="s">
        <v>227</v>
      </c>
      <c r="W2" s="5" t="s">
        <v>17</v>
      </c>
      <c r="X2" s="5" t="s">
        <v>18</v>
      </c>
      <c r="Y2" s="5" t="s">
        <v>101</v>
      </c>
      <c r="Z2" s="5" t="s">
        <v>102</v>
      </c>
      <c r="AA2" s="5" t="s">
        <v>227</v>
      </c>
      <c r="AB2" s="5" t="s">
        <v>17</v>
      </c>
      <c r="AC2" s="5" t="s">
        <v>18</v>
      </c>
      <c r="AD2" s="5" t="s">
        <v>101</v>
      </c>
      <c r="AE2" s="5" t="s">
        <v>102</v>
      </c>
      <c r="AF2" s="5" t="s">
        <v>227</v>
      </c>
      <c r="AG2" s="5" t="s">
        <v>17</v>
      </c>
      <c r="AH2" s="5" t="s">
        <v>18</v>
      </c>
      <c r="AI2" s="5" t="s">
        <v>101</v>
      </c>
      <c r="AJ2" s="5" t="s">
        <v>102</v>
      </c>
      <c r="AK2" s="5" t="s">
        <v>227</v>
      </c>
      <c r="AL2" s="5" t="s">
        <v>17</v>
      </c>
      <c r="AM2" s="5" t="s">
        <v>18</v>
      </c>
      <c r="AN2" s="5" t="s">
        <v>101</v>
      </c>
      <c r="AO2" s="5" t="s">
        <v>102</v>
      </c>
      <c r="AP2" s="5" t="s">
        <v>227</v>
      </c>
      <c r="AQ2" s="5" t="s">
        <v>17</v>
      </c>
      <c r="AR2" s="5" t="s">
        <v>18</v>
      </c>
      <c r="AS2" s="5" t="s">
        <v>101</v>
      </c>
      <c r="AT2" s="5" t="s">
        <v>102</v>
      </c>
      <c r="AU2" s="5" t="s">
        <v>227</v>
      </c>
      <c r="AV2" s="5" t="s">
        <v>17</v>
      </c>
      <c r="AW2" s="5" t="s">
        <v>18</v>
      </c>
      <c r="AX2" s="5" t="s">
        <v>101</v>
      </c>
      <c r="AY2" s="5" t="s">
        <v>102</v>
      </c>
      <c r="AZ2" s="5" t="s">
        <v>227</v>
      </c>
      <c r="BA2" s="5" t="s">
        <v>17</v>
      </c>
      <c r="BB2" s="5" t="s">
        <v>18</v>
      </c>
      <c r="BC2" s="5" t="s">
        <v>101</v>
      </c>
      <c r="BD2" s="5" t="s">
        <v>102</v>
      </c>
      <c r="BE2" s="5" t="s">
        <v>227</v>
      </c>
      <c r="BF2" s="5" t="s">
        <v>17</v>
      </c>
      <c r="BG2" s="5" t="s">
        <v>18</v>
      </c>
      <c r="BH2" s="5" t="s">
        <v>101</v>
      </c>
      <c r="BI2" s="5" t="s">
        <v>102</v>
      </c>
      <c r="BJ2" s="5" t="s">
        <v>227</v>
      </c>
      <c r="BK2" s="112"/>
    </row>
    <row r="3" spans="1:63" x14ac:dyDescent="0.35">
      <c r="A3" s="36" t="s">
        <v>1</v>
      </c>
      <c r="B3" s="36" t="s">
        <v>27</v>
      </c>
      <c r="C3" s="37">
        <f>+บริหาร!D6+บริหาร!Q6+บริหาร!AD6+บริหาร!AR6+บริหาร!BE6+บริหาร!BR6+บริหาร!CF6+บริหาร!CS6+บริหาร!DF6+บริหาร!DT6+บริหาร!EG6+บริหาร!ET6+บริหาร!FH6+บริหาร!FU6+บริหาร!GH6+บริหาร!GV6+บริหาร!HI6+บริหาร!HV6+บริหาร!IJ6+บริหาร!IW6+บริหาร!JJ6+บริหาร!JX6+บริหาร!KK6+บริหาร!KX6+บริหาร!LL6+บริหาร!LY6+บริหาร!ML6+บริหาร!MZ6+บริหาร!NM6+บริหาร!NZ6+บริหาร!ON6</f>
        <v>313909</v>
      </c>
      <c r="D3" s="37">
        <f>+บริหาร!PA7+บริหาร!PA11</f>
        <v>6905644.5199999996</v>
      </c>
      <c r="E3" s="37">
        <f>+บริหาร!PA8+บริหาร!PA12</f>
        <v>0</v>
      </c>
      <c r="F3" s="37">
        <f>+บริหาร!PA9+บริหาร!PA13</f>
        <v>0</v>
      </c>
      <c r="G3" s="37">
        <f>SUM(C3:F3)</f>
        <v>7219553.5199999996</v>
      </c>
      <c r="H3" s="37"/>
      <c r="I3" s="37"/>
      <c r="J3" s="37"/>
      <c r="K3" s="37"/>
      <c r="L3" s="37">
        <f>SUM(H3:K3)</f>
        <v>0</v>
      </c>
      <c r="M3" s="37"/>
      <c r="N3" s="37"/>
      <c r="O3" s="37"/>
      <c r="P3" s="37"/>
      <c r="Q3" s="37">
        <f>SUM(M3:P3)</f>
        <v>0</v>
      </c>
      <c r="R3" s="37"/>
      <c r="S3" s="37"/>
      <c r="T3" s="37"/>
      <c r="U3" s="37"/>
      <c r="V3" s="37">
        <f>SUM(R3:U3)</f>
        <v>0</v>
      </c>
      <c r="W3" s="37"/>
      <c r="X3" s="37"/>
      <c r="Y3" s="37"/>
      <c r="Z3" s="37"/>
      <c r="AA3" s="37">
        <f>SUM(W3:Z3)</f>
        <v>0</v>
      </c>
      <c r="AB3" s="37"/>
      <c r="AC3" s="37"/>
      <c r="AD3" s="37"/>
      <c r="AE3" s="37"/>
      <c r="AF3" s="37">
        <f>SUM(AB3:AE3)</f>
        <v>0</v>
      </c>
      <c r="AG3" s="37"/>
      <c r="AH3" s="37"/>
      <c r="AI3" s="37"/>
      <c r="AJ3" s="37"/>
      <c r="AK3" s="37">
        <f>SUM(AG3:AJ3)</f>
        <v>0</v>
      </c>
      <c r="AL3" s="37"/>
      <c r="AM3" s="37"/>
      <c r="AN3" s="37"/>
      <c r="AO3" s="37"/>
      <c r="AP3" s="37">
        <f>SUM(AL3:AO3)</f>
        <v>0</v>
      </c>
      <c r="AQ3" s="37"/>
      <c r="AR3" s="37"/>
      <c r="AS3" s="37"/>
      <c r="AT3" s="37"/>
      <c r="AU3" s="37">
        <f>SUM(AQ3:AT3)</f>
        <v>0</v>
      </c>
      <c r="AV3" s="37"/>
      <c r="AW3" s="37"/>
      <c r="AX3" s="37"/>
      <c r="AY3" s="37"/>
      <c r="AZ3" s="37">
        <f>SUM(AV3:AY3)</f>
        <v>0</v>
      </c>
      <c r="BA3" s="37"/>
      <c r="BB3" s="37"/>
      <c r="BC3" s="37"/>
      <c r="BD3" s="37"/>
      <c r="BE3" s="37">
        <f>SUM(BA3:BD3)</f>
        <v>0</v>
      </c>
      <c r="BF3" s="37"/>
      <c r="BG3" s="37"/>
      <c r="BH3" s="37"/>
      <c r="BI3" s="37"/>
      <c r="BJ3" s="37">
        <f>SUM(BF3:BI3)</f>
        <v>0</v>
      </c>
      <c r="BK3" s="37">
        <f>+G3+L3+Q3+V3+AA3+AF3+AK3+AP3+AU3+AZ3+BE3+BJ3</f>
        <v>7219553.5199999996</v>
      </c>
    </row>
    <row r="4" spans="1:63" x14ac:dyDescent="0.35">
      <c r="A4" s="34" t="s">
        <v>2</v>
      </c>
      <c r="B4" s="34" t="s">
        <v>27</v>
      </c>
      <c r="C4" s="35">
        <f>+บริหาร!PA14+บริหาร!PA18</f>
        <v>861343.34</v>
      </c>
      <c r="D4" s="35">
        <f>+บริหาร!PA15+บริหาร!PA19</f>
        <v>10385500.01</v>
      </c>
      <c r="E4" s="35">
        <f>+บริหาร!PA16+บริหาร!PA20</f>
        <v>0</v>
      </c>
      <c r="F4" s="35">
        <f>+บริหาร!PA17+บริหาร!PA21</f>
        <v>0</v>
      </c>
      <c r="G4" s="37">
        <f t="shared" ref="G4:G42" si="0">SUM(C4:F4)</f>
        <v>11246843.35</v>
      </c>
      <c r="H4" s="35"/>
      <c r="I4" s="35"/>
      <c r="J4" s="35"/>
      <c r="K4" s="35"/>
      <c r="L4" s="37">
        <f t="shared" ref="L4:L42" si="1">SUM(H4:K4)</f>
        <v>0</v>
      </c>
      <c r="M4" s="35"/>
      <c r="N4" s="35"/>
      <c r="O4" s="35"/>
      <c r="P4" s="35"/>
      <c r="Q4" s="37">
        <f t="shared" ref="Q4:Q42" si="2">SUM(M4:P4)</f>
        <v>0</v>
      </c>
      <c r="R4" s="35"/>
      <c r="S4" s="35"/>
      <c r="T4" s="35"/>
      <c r="U4" s="35"/>
      <c r="V4" s="37">
        <f t="shared" ref="V4:V42" si="3">SUM(R4:U4)</f>
        <v>0</v>
      </c>
      <c r="W4" s="35"/>
      <c r="X4" s="35"/>
      <c r="Y4" s="35"/>
      <c r="Z4" s="35"/>
      <c r="AA4" s="37">
        <f t="shared" ref="AA4:AA42" si="4">SUM(W4:Z4)</f>
        <v>0</v>
      </c>
      <c r="AB4" s="35"/>
      <c r="AC4" s="35"/>
      <c r="AD4" s="35"/>
      <c r="AE4" s="35"/>
      <c r="AF4" s="37">
        <f t="shared" ref="AF4:AF42" si="5">SUM(AB4:AE4)</f>
        <v>0</v>
      </c>
      <c r="AG4" s="35"/>
      <c r="AH4" s="35"/>
      <c r="AI4" s="35"/>
      <c r="AJ4" s="35"/>
      <c r="AK4" s="37">
        <f t="shared" ref="AK4:AK42" si="6">SUM(AG4:AJ4)</f>
        <v>0</v>
      </c>
      <c r="AL4" s="35"/>
      <c r="AM4" s="35"/>
      <c r="AN4" s="35"/>
      <c r="AO4" s="35"/>
      <c r="AP4" s="37">
        <f t="shared" ref="AP4:AP42" si="7">SUM(AL4:AO4)</f>
        <v>0</v>
      </c>
      <c r="AQ4" s="35"/>
      <c r="AR4" s="35"/>
      <c r="AS4" s="35"/>
      <c r="AT4" s="35"/>
      <c r="AU4" s="37">
        <f t="shared" ref="AU4:AU42" si="8">SUM(AQ4:AT4)</f>
        <v>0</v>
      </c>
      <c r="AV4" s="35"/>
      <c r="AW4" s="35"/>
      <c r="AX4" s="35"/>
      <c r="AY4" s="35"/>
      <c r="AZ4" s="37">
        <f t="shared" ref="AZ4:AZ42" si="9">SUM(AV4:AY4)</f>
        <v>0</v>
      </c>
      <c r="BA4" s="35"/>
      <c r="BB4" s="35"/>
      <c r="BC4" s="35"/>
      <c r="BD4" s="35"/>
      <c r="BE4" s="37">
        <f t="shared" ref="BE4:BE42" si="10">SUM(BA4:BD4)</f>
        <v>0</v>
      </c>
      <c r="BF4" s="35"/>
      <c r="BG4" s="35"/>
      <c r="BH4" s="35"/>
      <c r="BI4" s="35"/>
      <c r="BJ4" s="37">
        <f t="shared" ref="BJ4:BJ42" si="11">SUM(BF4:BI4)</f>
        <v>0</v>
      </c>
      <c r="BK4" s="37">
        <f t="shared" ref="BK4:BK42" si="12">+G4+L4+Q4+V4+AA4+AF4+AK4+AP4+AU4+AZ4+BE4+BJ4</f>
        <v>11246843.35</v>
      </c>
    </row>
    <row r="5" spans="1:63" x14ac:dyDescent="0.35">
      <c r="A5" s="34" t="s">
        <v>1</v>
      </c>
      <c r="B5" s="34" t="s">
        <v>104</v>
      </c>
      <c r="C5" s="35">
        <f>820440+18750+19343+5600</f>
        <v>864133</v>
      </c>
      <c r="D5" s="35">
        <f>162517.1+3906+4876</f>
        <v>171299.1</v>
      </c>
      <c r="E5" s="35"/>
      <c r="F5" s="35"/>
      <c r="G5" s="37">
        <f t="shared" si="0"/>
        <v>1035432.1</v>
      </c>
      <c r="H5" s="35">
        <f>820440+18750+20301+5600</f>
        <v>865091</v>
      </c>
      <c r="I5" s="35">
        <f>191610+4500+5748</f>
        <v>201858</v>
      </c>
      <c r="J5" s="35"/>
      <c r="K5" s="35"/>
      <c r="L5" s="37">
        <f t="shared" si="1"/>
        <v>1066949</v>
      </c>
      <c r="M5" s="35">
        <f>21466.67+11200+11200+820440+18750+20301</f>
        <v>903357.67</v>
      </c>
      <c r="N5" s="35">
        <f>191610+4500+5748</f>
        <v>201858</v>
      </c>
      <c r="O5" s="35"/>
      <c r="P5" s="35"/>
      <c r="Q5" s="37">
        <f t="shared" si="2"/>
        <v>1105215.67</v>
      </c>
      <c r="R5" s="35">
        <f>25306.45+11200+846690+19500+20301</f>
        <v>922997.45</v>
      </c>
      <c r="S5" s="35">
        <f>191610+4500+5748</f>
        <v>201858</v>
      </c>
      <c r="T5" s="35"/>
      <c r="U5" s="35"/>
      <c r="V5" s="37">
        <f t="shared" si="3"/>
        <v>1124855.45</v>
      </c>
      <c r="W5" s="35">
        <f>11200+846690+19500+20301</f>
        <v>897691</v>
      </c>
      <c r="X5" s="35">
        <f>191610+4500+5748</f>
        <v>201858</v>
      </c>
      <c r="Y5" s="35"/>
      <c r="Z5" s="35"/>
      <c r="AA5" s="37">
        <f t="shared" si="4"/>
        <v>1099549</v>
      </c>
      <c r="AB5" s="35">
        <f>846690+19500+20301+11200</f>
        <v>897691</v>
      </c>
      <c r="AC5" s="35">
        <f>191610+4500+5748</f>
        <v>201858</v>
      </c>
      <c r="AD5" s="35"/>
      <c r="AE5" s="35"/>
      <c r="AF5" s="37">
        <f t="shared" si="5"/>
        <v>1099549</v>
      </c>
      <c r="AG5" s="35">
        <f>222600+5696+883790+19500+22080</f>
        <v>1153666</v>
      </c>
      <c r="AH5" s="35">
        <f>53057.42+5+1590+11200+200620+4500+6019</f>
        <v>276991.42</v>
      </c>
      <c r="AI5" s="35"/>
      <c r="AJ5" s="35"/>
      <c r="AK5" s="37">
        <f t="shared" si="6"/>
        <v>1430657.42</v>
      </c>
      <c r="AL5" s="35">
        <f>11200+883790+19500+22080</f>
        <v>936570</v>
      </c>
      <c r="AM5" s="35">
        <f>200620+4500+6019</f>
        <v>211139</v>
      </c>
      <c r="AN5" s="35"/>
      <c r="AO5" s="35"/>
      <c r="AP5" s="37">
        <f t="shared" si="7"/>
        <v>1147709</v>
      </c>
      <c r="AQ5" s="35">
        <f>11200+883790+19500+22080</f>
        <v>936570</v>
      </c>
      <c r="AR5" s="35">
        <f>200620+4500+6019</f>
        <v>211139</v>
      </c>
      <c r="AS5" s="35"/>
      <c r="AT5" s="35"/>
      <c r="AU5" s="37">
        <f t="shared" si="8"/>
        <v>1147709</v>
      </c>
      <c r="AV5" s="35">
        <f>11200+883790+19500+22080</f>
        <v>936570</v>
      </c>
      <c r="AW5" s="35">
        <f>200620+4500+6019</f>
        <v>211139</v>
      </c>
      <c r="AX5" s="35"/>
      <c r="AY5" s="35"/>
      <c r="AZ5" s="37">
        <f t="shared" si="9"/>
        <v>1147709</v>
      </c>
      <c r="BA5" s="35">
        <f>114167.74+11200+860053.23+19096+21368</f>
        <v>1025884.97</v>
      </c>
      <c r="BB5" s="35">
        <f>200620+4500+6019</f>
        <v>211139</v>
      </c>
      <c r="BC5" s="35"/>
      <c r="BD5" s="35"/>
      <c r="BE5" s="37">
        <f t="shared" si="10"/>
        <v>1237023.97</v>
      </c>
      <c r="BF5" s="35">
        <f>16800+853130+18750+21160</f>
        <v>909840</v>
      </c>
      <c r="BG5" s="35">
        <f>200620+4500+6019</f>
        <v>211139</v>
      </c>
      <c r="BH5" s="35"/>
      <c r="BI5" s="35"/>
      <c r="BJ5" s="37">
        <f t="shared" si="11"/>
        <v>1120979</v>
      </c>
      <c r="BK5" s="37">
        <f t="shared" si="12"/>
        <v>13763337.610000001</v>
      </c>
    </row>
    <row r="6" spans="1:63" x14ac:dyDescent="0.35">
      <c r="A6" s="34" t="s">
        <v>2</v>
      </c>
      <c r="B6" s="34" t="s">
        <v>104</v>
      </c>
      <c r="C6" s="35">
        <f>100940+2250+3028</f>
        <v>106218</v>
      </c>
      <c r="D6" s="35">
        <f>817930+21000+11953+5600</f>
        <v>856483</v>
      </c>
      <c r="E6" s="35"/>
      <c r="F6" s="35"/>
      <c r="G6" s="37">
        <f t="shared" si="0"/>
        <v>962701</v>
      </c>
      <c r="H6" s="35">
        <f>100940+2250+3028</f>
        <v>106218</v>
      </c>
      <c r="I6" s="35">
        <f>817930+21000+11953+5600</f>
        <v>856483</v>
      </c>
      <c r="J6" s="35"/>
      <c r="K6" s="35"/>
      <c r="L6" s="37">
        <f t="shared" si="1"/>
        <v>962701</v>
      </c>
      <c r="M6" s="35">
        <f>100940+2250+3028</f>
        <v>106218</v>
      </c>
      <c r="N6" s="35">
        <f>5600+817930+21000+11953</f>
        <v>856483</v>
      </c>
      <c r="O6" s="35"/>
      <c r="P6" s="35"/>
      <c r="Q6" s="37">
        <f t="shared" si="2"/>
        <v>962701</v>
      </c>
      <c r="R6" s="35">
        <f>100940+2250+3028</f>
        <v>106218</v>
      </c>
      <c r="S6" s="35">
        <f>5600+817930+21000+11953</f>
        <v>856483</v>
      </c>
      <c r="T6" s="35"/>
      <c r="U6" s="35"/>
      <c r="V6" s="37">
        <f t="shared" si="3"/>
        <v>962701</v>
      </c>
      <c r="W6" s="35">
        <f>100940+2250+3028</f>
        <v>106218</v>
      </c>
      <c r="X6" s="35">
        <f>5600+817930+21000+11953</f>
        <v>856483</v>
      </c>
      <c r="Y6" s="35"/>
      <c r="Z6" s="35"/>
      <c r="AA6" s="37">
        <f t="shared" si="4"/>
        <v>962701</v>
      </c>
      <c r="AB6" s="35">
        <f>100940+2250+3028+92.01</f>
        <v>106310.01</v>
      </c>
      <c r="AC6" s="35">
        <f>844180+21750+11953+858.76+27000+5600</f>
        <v>911341.76</v>
      </c>
      <c r="AD6" s="35"/>
      <c r="AE6" s="35"/>
      <c r="AF6" s="37">
        <f t="shared" si="5"/>
        <v>1017651.77</v>
      </c>
      <c r="AG6" s="35">
        <f>20100+606+1440+104290+2250+3129</f>
        <v>131815</v>
      </c>
      <c r="AH6" s="35">
        <f>158160+2634+13880+5600+870540+21750+12391</f>
        <v>1084955</v>
      </c>
      <c r="AI6" s="35"/>
      <c r="AJ6" s="35"/>
      <c r="AK6" s="37">
        <f t="shared" si="6"/>
        <v>1216770</v>
      </c>
      <c r="AL6" s="35">
        <f>104290+2250+3129</f>
        <v>109669</v>
      </c>
      <c r="AM6" s="35">
        <f>5600+870540+21750+12391</f>
        <v>910281</v>
      </c>
      <c r="AN6" s="35"/>
      <c r="AO6" s="35"/>
      <c r="AP6" s="37">
        <f t="shared" si="7"/>
        <v>1019950</v>
      </c>
      <c r="AQ6" s="35">
        <f>104290+2250+3129</f>
        <v>109669</v>
      </c>
      <c r="AR6" s="35">
        <f>5600+870540+21750+12391</f>
        <v>910281</v>
      </c>
      <c r="AS6" s="35"/>
      <c r="AT6" s="35"/>
      <c r="AU6" s="37">
        <f t="shared" si="8"/>
        <v>1019950</v>
      </c>
      <c r="AV6" s="35">
        <f>104290+2250+3129</f>
        <v>109669</v>
      </c>
      <c r="AW6" s="35">
        <f>5600+870540+21750+12391</f>
        <v>910281</v>
      </c>
      <c r="AX6" s="35"/>
      <c r="AY6" s="35"/>
      <c r="AZ6" s="37">
        <f t="shared" si="9"/>
        <v>1019950</v>
      </c>
      <c r="BA6" s="35">
        <f>104290+2250+3129</f>
        <v>109669</v>
      </c>
      <c r="BB6" s="35">
        <f>5600+870540+21750+12391</f>
        <v>910281</v>
      </c>
      <c r="BC6" s="35"/>
      <c r="BD6" s="35"/>
      <c r="BE6" s="37">
        <f t="shared" si="10"/>
        <v>1019950</v>
      </c>
      <c r="BF6" s="35">
        <f>104290+2250+3129</f>
        <v>109669</v>
      </c>
      <c r="BG6" s="35">
        <f>5600+870540+21750+12391</f>
        <v>910281</v>
      </c>
      <c r="BH6" s="35"/>
      <c r="BI6" s="35"/>
      <c r="BJ6" s="37">
        <f t="shared" si="11"/>
        <v>1019950</v>
      </c>
      <c r="BK6" s="37">
        <f t="shared" si="12"/>
        <v>12147676.77</v>
      </c>
    </row>
    <row r="7" spans="1:63" x14ac:dyDescent="0.35">
      <c r="A7" s="34" t="s">
        <v>3</v>
      </c>
      <c r="B7" s="34" t="s">
        <v>104</v>
      </c>
      <c r="C7" s="35"/>
      <c r="D7" s="35">
        <f>86890+2250+1126</f>
        <v>90266</v>
      </c>
      <c r="E7" s="35"/>
      <c r="F7" s="35"/>
      <c r="G7" s="37">
        <f t="shared" si="0"/>
        <v>90266</v>
      </c>
      <c r="H7" s="35"/>
      <c r="I7" s="35">
        <f>86890+2250+1126+17650</f>
        <v>107916</v>
      </c>
      <c r="J7" s="35"/>
      <c r="K7" s="35"/>
      <c r="L7" s="37">
        <f t="shared" si="1"/>
        <v>107916</v>
      </c>
      <c r="M7" s="35"/>
      <c r="N7" s="35">
        <f>140.03+106390+3000+1126</f>
        <v>110656.03</v>
      </c>
      <c r="O7" s="35"/>
      <c r="P7" s="35"/>
      <c r="Q7" s="37">
        <f t="shared" si="2"/>
        <v>110656.03</v>
      </c>
      <c r="R7" s="35"/>
      <c r="S7" s="35">
        <f>106390+3000+1126</f>
        <v>110516</v>
      </c>
      <c r="T7" s="35"/>
      <c r="U7" s="35"/>
      <c r="V7" s="37">
        <f t="shared" si="3"/>
        <v>110516</v>
      </c>
      <c r="W7" s="35"/>
      <c r="X7" s="35">
        <f>106390+3000+1126</f>
        <v>110516</v>
      </c>
      <c r="Y7" s="35"/>
      <c r="Z7" s="35"/>
      <c r="AA7" s="37">
        <f t="shared" si="4"/>
        <v>110516</v>
      </c>
      <c r="AB7" s="35"/>
      <c r="AC7" s="35">
        <f>106390+3000+1126</f>
        <v>110516</v>
      </c>
      <c r="AD7" s="35"/>
      <c r="AE7" s="35"/>
      <c r="AF7" s="37">
        <f t="shared" si="5"/>
        <v>110516</v>
      </c>
      <c r="AG7" s="35"/>
      <c r="AH7" s="35">
        <f>24360+336+110450+3000+1183</f>
        <v>139329</v>
      </c>
      <c r="AI7" s="35"/>
      <c r="AJ7" s="35"/>
      <c r="AK7" s="37">
        <f t="shared" si="6"/>
        <v>139329</v>
      </c>
      <c r="AL7" s="35"/>
      <c r="AM7" s="35">
        <f>182832+110450+3000+1183</f>
        <v>297465</v>
      </c>
      <c r="AN7" s="35"/>
      <c r="AO7" s="35"/>
      <c r="AP7" s="37">
        <f t="shared" si="7"/>
        <v>297465</v>
      </c>
      <c r="AQ7" s="35"/>
      <c r="AR7" s="35">
        <f>110450+3000+1183</f>
        <v>114633</v>
      </c>
      <c r="AS7" s="35"/>
      <c r="AT7" s="35"/>
      <c r="AU7" s="37">
        <f t="shared" si="8"/>
        <v>114633</v>
      </c>
      <c r="AV7" s="35"/>
      <c r="AW7" s="35">
        <f>110450+3000+1183</f>
        <v>114633</v>
      </c>
      <c r="AX7" s="35"/>
      <c r="AY7" s="35"/>
      <c r="AZ7" s="37">
        <f t="shared" si="9"/>
        <v>114633</v>
      </c>
      <c r="BA7" s="35"/>
      <c r="BB7" s="35">
        <f>110450+3000+1183</f>
        <v>114633</v>
      </c>
      <c r="BC7" s="35"/>
      <c r="BD7" s="35"/>
      <c r="BE7" s="37">
        <f t="shared" si="10"/>
        <v>114633</v>
      </c>
      <c r="BF7" s="35"/>
      <c r="BG7" s="35">
        <f>110450+3000+1183</f>
        <v>114633</v>
      </c>
      <c r="BH7" s="35"/>
      <c r="BI7" s="35"/>
      <c r="BJ7" s="37">
        <f t="shared" si="11"/>
        <v>114633</v>
      </c>
      <c r="BK7" s="37">
        <f t="shared" si="12"/>
        <v>1535712.03</v>
      </c>
    </row>
    <row r="8" spans="1:63" x14ac:dyDescent="0.35">
      <c r="A8" s="34" t="s">
        <v>3</v>
      </c>
      <c r="B8" s="34" t="s">
        <v>105</v>
      </c>
      <c r="C8" s="35"/>
      <c r="D8" s="35"/>
      <c r="E8" s="35"/>
      <c r="F8" s="35"/>
      <c r="G8" s="37">
        <f t="shared" si="0"/>
        <v>0</v>
      </c>
      <c r="H8" s="35"/>
      <c r="I8" s="35"/>
      <c r="J8" s="35"/>
      <c r="K8" s="35"/>
      <c r="L8" s="37">
        <f t="shared" si="1"/>
        <v>0</v>
      </c>
      <c r="M8" s="35"/>
      <c r="N8" s="35"/>
      <c r="O8" s="35"/>
      <c r="P8" s="35"/>
      <c r="Q8" s="37">
        <f t="shared" si="2"/>
        <v>0</v>
      </c>
      <c r="R8" s="35"/>
      <c r="S8" s="35"/>
      <c r="T8" s="35"/>
      <c r="U8" s="35"/>
      <c r="V8" s="37">
        <f t="shared" si="3"/>
        <v>0</v>
      </c>
      <c r="W8" s="35"/>
      <c r="X8" s="35"/>
      <c r="Y8" s="35"/>
      <c r="Z8" s="35"/>
      <c r="AA8" s="37">
        <f t="shared" si="4"/>
        <v>0</v>
      </c>
      <c r="AB8" s="35"/>
      <c r="AC8" s="35"/>
      <c r="AD8" s="35"/>
      <c r="AE8" s="35"/>
      <c r="AF8" s="37">
        <f t="shared" si="5"/>
        <v>0</v>
      </c>
      <c r="AG8" s="35"/>
      <c r="AH8" s="35"/>
      <c r="AI8" s="35"/>
      <c r="AJ8" s="35"/>
      <c r="AK8" s="37">
        <f t="shared" si="6"/>
        <v>0</v>
      </c>
      <c r="AL8" s="35"/>
      <c r="AM8" s="35"/>
      <c r="AN8" s="35"/>
      <c r="AO8" s="35"/>
      <c r="AP8" s="37">
        <f t="shared" si="7"/>
        <v>0</v>
      </c>
      <c r="AQ8" s="35"/>
      <c r="AR8" s="35"/>
      <c r="AS8" s="35"/>
      <c r="AT8" s="35"/>
      <c r="AU8" s="37">
        <f t="shared" si="8"/>
        <v>0</v>
      </c>
      <c r="AV8" s="35"/>
      <c r="AW8" s="35"/>
      <c r="AX8" s="35"/>
      <c r="AY8" s="35"/>
      <c r="AZ8" s="37">
        <f t="shared" si="9"/>
        <v>0</v>
      </c>
      <c r="BA8" s="35"/>
      <c r="BB8" s="35"/>
      <c r="BC8" s="35"/>
      <c r="BD8" s="35"/>
      <c r="BE8" s="37">
        <f t="shared" si="10"/>
        <v>0</v>
      </c>
      <c r="BF8" s="35"/>
      <c r="BG8" s="35"/>
      <c r="BH8" s="35"/>
      <c r="BI8" s="35"/>
      <c r="BJ8" s="37">
        <f t="shared" si="11"/>
        <v>0</v>
      </c>
      <c r="BK8" s="37">
        <f t="shared" si="12"/>
        <v>0</v>
      </c>
    </row>
    <row r="9" spans="1:63" x14ac:dyDescent="0.35">
      <c r="A9" s="34" t="s">
        <v>2</v>
      </c>
      <c r="B9" s="34" t="s">
        <v>85</v>
      </c>
      <c r="C9" s="35"/>
      <c r="D9" s="35"/>
      <c r="E9" s="35"/>
      <c r="F9" s="35"/>
      <c r="G9" s="37">
        <f t="shared" si="0"/>
        <v>0</v>
      </c>
      <c r="H9" s="35"/>
      <c r="I9" s="35"/>
      <c r="J9" s="35"/>
      <c r="K9" s="35"/>
      <c r="L9" s="37">
        <f t="shared" si="1"/>
        <v>0</v>
      </c>
      <c r="M9" s="35"/>
      <c r="N9" s="35"/>
      <c r="O9" s="35"/>
      <c r="P9" s="35"/>
      <c r="Q9" s="37">
        <f t="shared" si="2"/>
        <v>0</v>
      </c>
      <c r="R9" s="35"/>
      <c r="S9" s="35"/>
      <c r="T9" s="35"/>
      <c r="U9" s="35"/>
      <c r="V9" s="37">
        <f t="shared" si="3"/>
        <v>0</v>
      </c>
      <c r="W9" s="35"/>
      <c r="X9" s="35"/>
      <c r="Y9" s="35"/>
      <c r="Z9" s="35"/>
      <c r="AA9" s="37">
        <f t="shared" si="4"/>
        <v>0</v>
      </c>
      <c r="AB9" s="35"/>
      <c r="AC9" s="35"/>
      <c r="AD9" s="35"/>
      <c r="AE9" s="35"/>
      <c r="AF9" s="37">
        <f t="shared" si="5"/>
        <v>0</v>
      </c>
      <c r="AG9" s="35"/>
      <c r="AH9" s="35"/>
      <c r="AI9" s="35"/>
      <c r="AJ9" s="35"/>
      <c r="AK9" s="37">
        <f t="shared" si="6"/>
        <v>0</v>
      </c>
      <c r="AL9" s="35"/>
      <c r="AM9" s="35"/>
      <c r="AN9" s="35"/>
      <c r="AO9" s="35"/>
      <c r="AP9" s="37">
        <f t="shared" si="7"/>
        <v>0</v>
      </c>
      <c r="AQ9" s="35"/>
      <c r="AR9" s="35"/>
      <c r="AS9" s="35"/>
      <c r="AT9" s="35"/>
      <c r="AU9" s="37">
        <f t="shared" si="8"/>
        <v>0</v>
      </c>
      <c r="AV9" s="35"/>
      <c r="AW9" s="35"/>
      <c r="AX9" s="35"/>
      <c r="AY9" s="35"/>
      <c r="AZ9" s="37">
        <f t="shared" si="9"/>
        <v>0</v>
      </c>
      <c r="BA9" s="35"/>
      <c r="BB9" s="35"/>
      <c r="BC9" s="35"/>
      <c r="BD9" s="35"/>
      <c r="BE9" s="37">
        <f t="shared" si="10"/>
        <v>0</v>
      </c>
      <c r="BF9" s="35"/>
      <c r="BG9" s="35"/>
      <c r="BH9" s="35"/>
      <c r="BI9" s="35"/>
      <c r="BJ9" s="37">
        <f t="shared" si="11"/>
        <v>0</v>
      </c>
      <c r="BK9" s="37">
        <f t="shared" si="12"/>
        <v>0</v>
      </c>
    </row>
    <row r="10" spans="1:63" x14ac:dyDescent="0.35">
      <c r="A10" s="34" t="s">
        <v>1</v>
      </c>
      <c r="B10" s="34" t="s">
        <v>106</v>
      </c>
      <c r="C10" s="35"/>
      <c r="D10" s="35"/>
      <c r="E10" s="35"/>
      <c r="F10" s="35"/>
      <c r="G10" s="37">
        <f t="shared" si="0"/>
        <v>0</v>
      </c>
      <c r="H10" s="35"/>
      <c r="I10" s="35"/>
      <c r="J10" s="35"/>
      <c r="K10" s="35"/>
      <c r="L10" s="37">
        <f t="shared" si="1"/>
        <v>0</v>
      </c>
      <c r="M10" s="35"/>
      <c r="N10" s="35"/>
      <c r="O10" s="35"/>
      <c r="P10" s="35"/>
      <c r="Q10" s="37">
        <f t="shared" si="2"/>
        <v>0</v>
      </c>
      <c r="R10" s="35"/>
      <c r="S10" s="35"/>
      <c r="T10" s="35"/>
      <c r="U10" s="35"/>
      <c r="V10" s="37">
        <f t="shared" si="3"/>
        <v>0</v>
      </c>
      <c r="W10" s="35"/>
      <c r="X10" s="35"/>
      <c r="Y10" s="35"/>
      <c r="Z10" s="35"/>
      <c r="AA10" s="37">
        <f t="shared" si="4"/>
        <v>0</v>
      </c>
      <c r="AB10" s="35"/>
      <c r="AC10" s="35"/>
      <c r="AD10" s="35"/>
      <c r="AE10" s="35"/>
      <c r="AF10" s="37">
        <f t="shared" si="5"/>
        <v>0</v>
      </c>
      <c r="AG10" s="35"/>
      <c r="AH10" s="35"/>
      <c r="AI10" s="35"/>
      <c r="AJ10" s="35"/>
      <c r="AK10" s="37">
        <f t="shared" si="6"/>
        <v>0</v>
      </c>
      <c r="AL10" s="35"/>
      <c r="AM10" s="35"/>
      <c r="AN10" s="35"/>
      <c r="AO10" s="35"/>
      <c r="AP10" s="37">
        <f t="shared" si="7"/>
        <v>0</v>
      </c>
      <c r="AQ10" s="35"/>
      <c r="AR10" s="35"/>
      <c r="AS10" s="35"/>
      <c r="AT10" s="35"/>
      <c r="AU10" s="37">
        <f t="shared" si="8"/>
        <v>0</v>
      </c>
      <c r="AV10" s="35"/>
      <c r="AW10" s="35"/>
      <c r="AX10" s="35"/>
      <c r="AY10" s="35"/>
      <c r="AZ10" s="37">
        <f t="shared" si="9"/>
        <v>0</v>
      </c>
      <c r="BA10" s="35"/>
      <c r="BB10" s="35"/>
      <c r="BC10" s="35"/>
      <c r="BD10" s="35"/>
      <c r="BE10" s="37">
        <f t="shared" si="10"/>
        <v>0</v>
      </c>
      <c r="BF10" s="35"/>
      <c r="BG10" s="35"/>
      <c r="BH10" s="35"/>
      <c r="BI10" s="35"/>
      <c r="BJ10" s="37">
        <f t="shared" si="11"/>
        <v>0</v>
      </c>
      <c r="BK10" s="37">
        <f t="shared" si="12"/>
        <v>0</v>
      </c>
    </row>
    <row r="11" spans="1:63" x14ac:dyDescent="0.35">
      <c r="A11" s="34" t="s">
        <v>1</v>
      </c>
      <c r="B11" s="34" t="s">
        <v>107</v>
      </c>
      <c r="C11" s="35"/>
      <c r="D11" s="35"/>
      <c r="E11" s="35"/>
      <c r="F11" s="35"/>
      <c r="G11" s="37">
        <f>SUM(C11:F11)</f>
        <v>0</v>
      </c>
      <c r="H11" s="35"/>
      <c r="I11" s="35"/>
      <c r="J11" s="35"/>
      <c r="K11" s="35"/>
      <c r="L11" s="37">
        <f t="shared" si="1"/>
        <v>0</v>
      </c>
      <c r="M11" s="35"/>
      <c r="N11" s="35"/>
      <c r="O11" s="35"/>
      <c r="P11" s="35"/>
      <c r="Q11" s="37">
        <f t="shared" si="2"/>
        <v>0</v>
      </c>
      <c r="R11" s="35"/>
      <c r="S11" s="35"/>
      <c r="T11" s="35"/>
      <c r="U11" s="35"/>
      <c r="V11" s="37">
        <f t="shared" si="3"/>
        <v>0</v>
      </c>
      <c r="W11" s="35"/>
      <c r="X11" s="35"/>
      <c r="Y11" s="35"/>
      <c r="Z11" s="35"/>
      <c r="AA11" s="37">
        <f t="shared" si="4"/>
        <v>0</v>
      </c>
      <c r="AB11" s="35"/>
      <c r="AC11" s="35"/>
      <c r="AD11" s="35"/>
      <c r="AE11" s="35"/>
      <c r="AF11" s="37">
        <f t="shared" si="5"/>
        <v>0</v>
      </c>
      <c r="AG11" s="35"/>
      <c r="AH11" s="35"/>
      <c r="AI11" s="35"/>
      <c r="AJ11" s="35"/>
      <c r="AK11" s="37">
        <f t="shared" si="6"/>
        <v>0</v>
      </c>
      <c r="AL11" s="35"/>
      <c r="AM11" s="35"/>
      <c r="AN11" s="35"/>
      <c r="AO11" s="35"/>
      <c r="AP11" s="37">
        <f t="shared" si="7"/>
        <v>0</v>
      </c>
      <c r="AQ11" s="35"/>
      <c r="AR11" s="35"/>
      <c r="AS11" s="35"/>
      <c r="AT11" s="35"/>
      <c r="AU11" s="37">
        <f t="shared" si="8"/>
        <v>0</v>
      </c>
      <c r="AV11" s="35"/>
      <c r="AW11" s="35"/>
      <c r="AX11" s="35"/>
      <c r="AY11" s="35"/>
      <c r="AZ11" s="37">
        <f t="shared" si="9"/>
        <v>0</v>
      </c>
      <c r="BA11" s="35"/>
      <c r="BB11" s="35"/>
      <c r="BC11" s="35"/>
      <c r="BD11" s="35"/>
      <c r="BE11" s="37">
        <f t="shared" si="10"/>
        <v>0</v>
      </c>
      <c r="BF11" s="35"/>
      <c r="BG11" s="35"/>
      <c r="BH11" s="35"/>
      <c r="BI11" s="35"/>
      <c r="BJ11" s="37">
        <f t="shared" si="11"/>
        <v>0</v>
      </c>
      <c r="BK11" s="37">
        <f t="shared" si="12"/>
        <v>0</v>
      </c>
    </row>
    <row r="12" spans="1:63" x14ac:dyDescent="0.35">
      <c r="A12" s="34" t="s">
        <v>1</v>
      </c>
      <c r="B12" s="34" t="s">
        <v>305</v>
      </c>
      <c r="C12" s="35"/>
      <c r="D12" s="35"/>
      <c r="E12" s="35"/>
      <c r="F12" s="35"/>
      <c r="G12" s="37">
        <f>SUM(C12:F12)</f>
        <v>0</v>
      </c>
      <c r="H12" s="35"/>
      <c r="I12" s="35"/>
      <c r="J12" s="35"/>
      <c r="K12" s="35"/>
      <c r="L12" s="37">
        <f>SUM(H12:K12)</f>
        <v>0</v>
      </c>
      <c r="M12" s="35"/>
      <c r="N12" s="35"/>
      <c r="O12" s="35"/>
      <c r="P12" s="35"/>
      <c r="Q12" s="37">
        <f>SUM(M12:P12)</f>
        <v>0</v>
      </c>
      <c r="R12" s="35"/>
      <c r="S12" s="35"/>
      <c r="T12" s="35"/>
      <c r="U12" s="35"/>
      <c r="V12" s="37">
        <f>SUM(R12:U12)</f>
        <v>0</v>
      </c>
      <c r="W12" s="35"/>
      <c r="X12" s="35"/>
      <c r="Y12" s="35"/>
      <c r="Z12" s="35"/>
      <c r="AA12" s="37">
        <f>SUM(W12:Z12)</f>
        <v>0</v>
      </c>
      <c r="AB12" s="35"/>
      <c r="AC12" s="35"/>
      <c r="AD12" s="35"/>
      <c r="AE12" s="35"/>
      <c r="AF12" s="37">
        <f t="shared" ref="AF12" si="13">SUM(AB12:AE12)</f>
        <v>0</v>
      </c>
      <c r="AG12" s="35"/>
      <c r="AH12" s="35"/>
      <c r="AI12" s="35"/>
      <c r="AJ12" s="35"/>
      <c r="AK12" s="37">
        <f>SUM(AG12:AJ12)</f>
        <v>0</v>
      </c>
      <c r="AL12" s="35"/>
      <c r="AM12" s="35"/>
      <c r="AN12" s="35"/>
      <c r="AO12" s="35"/>
      <c r="AP12" s="37">
        <f>SUM(AL12:AO12)</f>
        <v>0</v>
      </c>
      <c r="AQ12" s="35"/>
      <c r="AR12" s="35"/>
      <c r="AS12" s="35"/>
      <c r="AT12" s="35"/>
      <c r="AU12" s="37">
        <f t="shared" ref="AU12" si="14">SUM(AQ12:AT12)</f>
        <v>0</v>
      </c>
      <c r="AV12" s="35"/>
      <c r="AW12" s="35"/>
      <c r="AX12" s="35"/>
      <c r="AY12" s="35"/>
      <c r="AZ12" s="37">
        <f t="shared" ref="AZ12" si="15">SUM(AV12:AY12)</f>
        <v>0</v>
      </c>
      <c r="BA12" s="35"/>
      <c r="BB12" s="35"/>
      <c r="BC12" s="35"/>
      <c r="BD12" s="35"/>
      <c r="BE12" s="37">
        <f t="shared" ref="BE12" si="16">SUM(BA12:BD12)</f>
        <v>0</v>
      </c>
      <c r="BF12" s="35"/>
      <c r="BG12" s="35"/>
      <c r="BH12" s="35"/>
      <c r="BI12" s="35"/>
      <c r="BJ12" s="37">
        <f t="shared" ref="BJ12" si="17">SUM(BF12:BI12)</f>
        <v>0</v>
      </c>
      <c r="BK12" s="37">
        <f t="shared" ref="BK12" si="18">+G12+L12+Q12+V12+AA12+AF12+AK12+AP12+AU12+AZ12+BE12+BJ12</f>
        <v>0</v>
      </c>
    </row>
    <row r="13" spans="1:63" x14ac:dyDescent="0.35">
      <c r="A13" s="34" t="s">
        <v>1</v>
      </c>
      <c r="B13" s="34" t="s">
        <v>108</v>
      </c>
      <c r="C13" s="35"/>
      <c r="D13" s="35"/>
      <c r="E13" s="35"/>
      <c r="F13" s="35"/>
      <c r="G13" s="37">
        <f t="shared" si="0"/>
        <v>0</v>
      </c>
      <c r="H13" s="35"/>
      <c r="I13" s="35"/>
      <c r="J13" s="35"/>
      <c r="K13" s="35"/>
      <c r="L13" s="37">
        <f t="shared" si="1"/>
        <v>0</v>
      </c>
      <c r="M13" s="35"/>
      <c r="N13" s="35"/>
      <c r="O13" s="35"/>
      <c r="P13" s="35"/>
      <c r="Q13" s="37">
        <f t="shared" si="2"/>
        <v>0</v>
      </c>
      <c r="R13" s="35"/>
      <c r="S13" s="35"/>
      <c r="T13" s="35"/>
      <c r="U13" s="35"/>
      <c r="V13" s="37">
        <f t="shared" si="3"/>
        <v>0</v>
      </c>
      <c r="W13" s="35"/>
      <c r="X13" s="35"/>
      <c r="Y13" s="35"/>
      <c r="Z13" s="35"/>
      <c r="AA13" s="37">
        <f t="shared" si="4"/>
        <v>0</v>
      </c>
      <c r="AB13" s="35"/>
      <c r="AC13" s="35"/>
      <c r="AD13" s="35"/>
      <c r="AE13" s="35"/>
      <c r="AF13" s="37">
        <f t="shared" si="5"/>
        <v>0</v>
      </c>
      <c r="AG13" s="35"/>
      <c r="AH13" s="35"/>
      <c r="AI13" s="35"/>
      <c r="AJ13" s="35"/>
      <c r="AK13" s="37">
        <f t="shared" si="6"/>
        <v>0</v>
      </c>
      <c r="AL13" s="35"/>
      <c r="AM13" s="35"/>
      <c r="AN13" s="35"/>
      <c r="AO13" s="35"/>
      <c r="AP13" s="37">
        <f t="shared" si="7"/>
        <v>0</v>
      </c>
      <c r="AQ13" s="35"/>
      <c r="AR13" s="35"/>
      <c r="AS13" s="35"/>
      <c r="AT13" s="35"/>
      <c r="AU13" s="37">
        <f t="shared" si="8"/>
        <v>0</v>
      </c>
      <c r="AV13" s="35"/>
      <c r="AW13" s="35"/>
      <c r="AX13" s="35"/>
      <c r="AY13" s="35"/>
      <c r="AZ13" s="37">
        <f t="shared" si="9"/>
        <v>0</v>
      </c>
      <c r="BA13" s="35"/>
      <c r="BB13" s="35"/>
      <c r="BC13" s="35"/>
      <c r="BD13" s="35"/>
      <c r="BE13" s="37">
        <f t="shared" si="10"/>
        <v>0</v>
      </c>
      <c r="BF13" s="35"/>
      <c r="BG13" s="35"/>
      <c r="BH13" s="35"/>
      <c r="BI13" s="35"/>
      <c r="BJ13" s="37">
        <f t="shared" si="11"/>
        <v>0</v>
      </c>
      <c r="BK13" s="37">
        <f t="shared" si="12"/>
        <v>0</v>
      </c>
    </row>
    <row r="14" spans="1:63" x14ac:dyDescent="0.35">
      <c r="A14" s="34" t="s">
        <v>1</v>
      </c>
      <c r="B14" s="34" t="s">
        <v>79</v>
      </c>
      <c r="C14" s="35"/>
      <c r="D14" s="35"/>
      <c r="E14" s="35"/>
      <c r="F14" s="35"/>
      <c r="G14" s="37">
        <f t="shared" si="0"/>
        <v>0</v>
      </c>
      <c r="H14" s="35"/>
      <c r="I14" s="35"/>
      <c r="J14" s="35"/>
      <c r="K14" s="35"/>
      <c r="L14" s="37">
        <f t="shared" si="1"/>
        <v>0</v>
      </c>
      <c r="M14" s="35"/>
      <c r="N14" s="35"/>
      <c r="O14" s="35"/>
      <c r="P14" s="35"/>
      <c r="Q14" s="37">
        <f t="shared" si="2"/>
        <v>0</v>
      </c>
      <c r="R14" s="35"/>
      <c r="S14" s="35"/>
      <c r="T14" s="35"/>
      <c r="U14" s="35"/>
      <c r="V14" s="37">
        <f t="shared" si="3"/>
        <v>0</v>
      </c>
      <c r="W14" s="35"/>
      <c r="X14" s="35"/>
      <c r="Y14" s="35"/>
      <c r="Z14" s="35"/>
      <c r="AA14" s="37">
        <f t="shared" si="4"/>
        <v>0</v>
      </c>
      <c r="AB14" s="35"/>
      <c r="AC14" s="35"/>
      <c r="AD14" s="35"/>
      <c r="AE14" s="35"/>
      <c r="AF14" s="37">
        <f t="shared" si="5"/>
        <v>0</v>
      </c>
      <c r="AG14" s="35"/>
      <c r="AH14" s="35"/>
      <c r="AI14" s="35"/>
      <c r="AJ14" s="35"/>
      <c r="AK14" s="37">
        <f t="shared" si="6"/>
        <v>0</v>
      </c>
      <c r="AL14" s="35"/>
      <c r="AM14" s="35"/>
      <c r="AN14" s="35"/>
      <c r="AO14" s="35"/>
      <c r="AP14" s="37">
        <f t="shared" si="7"/>
        <v>0</v>
      </c>
      <c r="AQ14" s="35"/>
      <c r="AR14" s="35"/>
      <c r="AS14" s="35"/>
      <c r="AT14" s="35"/>
      <c r="AU14" s="37">
        <f t="shared" si="8"/>
        <v>0</v>
      </c>
      <c r="AV14" s="35"/>
      <c r="AW14" s="35"/>
      <c r="AX14" s="35"/>
      <c r="AY14" s="35"/>
      <c r="AZ14" s="37">
        <f t="shared" si="9"/>
        <v>0</v>
      </c>
      <c r="BA14" s="35"/>
      <c r="BB14" s="35"/>
      <c r="BC14" s="35"/>
      <c r="BD14" s="35"/>
      <c r="BE14" s="37">
        <f t="shared" si="10"/>
        <v>0</v>
      </c>
      <c r="BF14" s="35"/>
      <c r="BG14" s="35"/>
      <c r="BH14" s="35"/>
      <c r="BI14" s="35"/>
      <c r="BJ14" s="37">
        <f t="shared" si="11"/>
        <v>0</v>
      </c>
      <c r="BK14" s="37">
        <f t="shared" si="12"/>
        <v>0</v>
      </c>
    </row>
    <row r="15" spans="1:63" x14ac:dyDescent="0.35">
      <c r="A15" s="34" t="s">
        <v>1</v>
      </c>
      <c r="B15" s="34" t="s">
        <v>66</v>
      </c>
      <c r="C15" s="35"/>
      <c r="D15" s="35"/>
      <c r="E15" s="35"/>
      <c r="F15" s="35"/>
      <c r="G15" s="37">
        <f t="shared" si="0"/>
        <v>0</v>
      </c>
      <c r="H15" s="35"/>
      <c r="I15" s="35"/>
      <c r="J15" s="35"/>
      <c r="K15" s="35"/>
      <c r="L15" s="37">
        <f t="shared" si="1"/>
        <v>0</v>
      </c>
      <c r="M15" s="35"/>
      <c r="N15" s="35"/>
      <c r="O15" s="35"/>
      <c r="P15" s="35"/>
      <c r="Q15" s="37">
        <f t="shared" si="2"/>
        <v>0</v>
      </c>
      <c r="R15" s="35"/>
      <c r="S15" s="35"/>
      <c r="T15" s="35"/>
      <c r="U15" s="35"/>
      <c r="V15" s="37">
        <f t="shared" si="3"/>
        <v>0</v>
      </c>
      <c r="W15" s="35"/>
      <c r="X15" s="35"/>
      <c r="Y15" s="35"/>
      <c r="Z15" s="35"/>
      <c r="AA15" s="37">
        <f t="shared" si="4"/>
        <v>0</v>
      </c>
      <c r="AB15" s="35"/>
      <c r="AC15" s="35"/>
      <c r="AD15" s="35"/>
      <c r="AE15" s="35"/>
      <c r="AF15" s="37">
        <f t="shared" si="5"/>
        <v>0</v>
      </c>
      <c r="AG15" s="35"/>
      <c r="AH15" s="35"/>
      <c r="AI15" s="35"/>
      <c r="AJ15" s="35"/>
      <c r="AK15" s="37">
        <f t="shared" si="6"/>
        <v>0</v>
      </c>
      <c r="AL15" s="35"/>
      <c r="AM15" s="35"/>
      <c r="AN15" s="35"/>
      <c r="AO15" s="35"/>
      <c r="AP15" s="37">
        <f t="shared" si="7"/>
        <v>0</v>
      </c>
      <c r="AQ15" s="35"/>
      <c r="AR15" s="35"/>
      <c r="AS15" s="35"/>
      <c r="AT15" s="35"/>
      <c r="AU15" s="37">
        <f t="shared" si="8"/>
        <v>0</v>
      </c>
      <c r="AV15" s="35"/>
      <c r="AW15" s="35"/>
      <c r="AX15" s="35"/>
      <c r="AY15" s="35"/>
      <c r="AZ15" s="37">
        <f t="shared" si="9"/>
        <v>0</v>
      </c>
      <c r="BA15" s="35"/>
      <c r="BB15" s="35"/>
      <c r="BC15" s="35"/>
      <c r="BD15" s="35"/>
      <c r="BE15" s="37">
        <f t="shared" si="10"/>
        <v>0</v>
      </c>
      <c r="BF15" s="35"/>
      <c r="BG15" s="35"/>
      <c r="BH15" s="35"/>
      <c r="BI15" s="35"/>
      <c r="BJ15" s="37">
        <f t="shared" si="11"/>
        <v>0</v>
      </c>
      <c r="BK15" s="37">
        <f t="shared" si="12"/>
        <v>0</v>
      </c>
    </row>
    <row r="16" spans="1:63" x14ac:dyDescent="0.35">
      <c r="A16" s="34" t="s">
        <v>1</v>
      </c>
      <c r="B16" s="34" t="s">
        <v>67</v>
      </c>
      <c r="C16" s="35"/>
      <c r="D16" s="35"/>
      <c r="E16" s="35"/>
      <c r="F16" s="35"/>
      <c r="G16" s="37">
        <f t="shared" si="0"/>
        <v>0</v>
      </c>
      <c r="H16" s="35"/>
      <c r="I16" s="35"/>
      <c r="J16" s="35"/>
      <c r="K16" s="35"/>
      <c r="L16" s="37">
        <f t="shared" si="1"/>
        <v>0</v>
      </c>
      <c r="M16" s="35"/>
      <c r="N16" s="35"/>
      <c r="O16" s="35"/>
      <c r="P16" s="35"/>
      <c r="Q16" s="37">
        <f t="shared" si="2"/>
        <v>0</v>
      </c>
      <c r="R16" s="35"/>
      <c r="S16" s="35"/>
      <c r="T16" s="35"/>
      <c r="U16" s="35"/>
      <c r="V16" s="37">
        <f t="shared" si="3"/>
        <v>0</v>
      </c>
      <c r="W16" s="35"/>
      <c r="X16" s="35"/>
      <c r="Y16" s="35"/>
      <c r="Z16" s="35"/>
      <c r="AA16" s="37">
        <f t="shared" si="4"/>
        <v>0</v>
      </c>
      <c r="AB16" s="35"/>
      <c r="AC16" s="35"/>
      <c r="AD16" s="35"/>
      <c r="AE16" s="35"/>
      <c r="AF16" s="37">
        <f t="shared" si="5"/>
        <v>0</v>
      </c>
      <c r="AG16" s="35"/>
      <c r="AH16" s="35"/>
      <c r="AI16" s="35"/>
      <c r="AJ16" s="35"/>
      <c r="AK16" s="37">
        <f t="shared" si="6"/>
        <v>0</v>
      </c>
      <c r="AL16" s="35"/>
      <c r="AM16" s="35"/>
      <c r="AN16" s="35"/>
      <c r="AO16" s="35"/>
      <c r="AP16" s="37">
        <f t="shared" si="7"/>
        <v>0</v>
      </c>
      <c r="AQ16" s="35"/>
      <c r="AR16" s="35"/>
      <c r="AS16" s="35"/>
      <c r="AT16" s="35"/>
      <c r="AU16" s="37">
        <f t="shared" si="8"/>
        <v>0</v>
      </c>
      <c r="AV16" s="35"/>
      <c r="AW16" s="35"/>
      <c r="AX16" s="35"/>
      <c r="AY16" s="35"/>
      <c r="AZ16" s="37">
        <f t="shared" si="9"/>
        <v>0</v>
      </c>
      <c r="BA16" s="35"/>
      <c r="BB16" s="35"/>
      <c r="BC16" s="35"/>
      <c r="BD16" s="35"/>
      <c r="BE16" s="37">
        <f t="shared" si="10"/>
        <v>0</v>
      </c>
      <c r="BF16" s="35"/>
      <c r="BG16" s="35"/>
      <c r="BH16" s="35"/>
      <c r="BI16" s="35"/>
      <c r="BJ16" s="37">
        <f t="shared" si="11"/>
        <v>0</v>
      </c>
      <c r="BK16" s="37">
        <f t="shared" si="12"/>
        <v>0</v>
      </c>
    </row>
    <row r="17" spans="1:63" x14ac:dyDescent="0.35">
      <c r="A17" s="34" t="s">
        <v>1</v>
      </c>
      <c r="B17" s="34" t="s">
        <v>70</v>
      </c>
      <c r="C17" s="35"/>
      <c r="D17" s="35"/>
      <c r="E17" s="35"/>
      <c r="F17" s="35"/>
      <c r="G17" s="37">
        <f t="shared" si="0"/>
        <v>0</v>
      </c>
      <c r="H17" s="35"/>
      <c r="I17" s="35"/>
      <c r="J17" s="35"/>
      <c r="K17" s="35"/>
      <c r="L17" s="37">
        <f t="shared" si="1"/>
        <v>0</v>
      </c>
      <c r="M17" s="35"/>
      <c r="N17" s="35"/>
      <c r="O17" s="35"/>
      <c r="P17" s="35"/>
      <c r="Q17" s="37">
        <f t="shared" si="2"/>
        <v>0</v>
      </c>
      <c r="R17" s="35"/>
      <c r="S17" s="35"/>
      <c r="T17" s="35"/>
      <c r="U17" s="35"/>
      <c r="V17" s="37">
        <f t="shared" si="3"/>
        <v>0</v>
      </c>
      <c r="W17" s="35"/>
      <c r="X17" s="35"/>
      <c r="Y17" s="35"/>
      <c r="Z17" s="35"/>
      <c r="AA17" s="37">
        <f t="shared" si="4"/>
        <v>0</v>
      </c>
      <c r="AB17" s="35"/>
      <c r="AC17" s="35"/>
      <c r="AD17" s="35"/>
      <c r="AE17" s="35"/>
      <c r="AF17" s="37">
        <f t="shared" si="5"/>
        <v>0</v>
      </c>
      <c r="AG17" s="35"/>
      <c r="AH17" s="35"/>
      <c r="AI17" s="35"/>
      <c r="AJ17" s="35"/>
      <c r="AK17" s="37">
        <f t="shared" si="6"/>
        <v>0</v>
      </c>
      <c r="AL17" s="35"/>
      <c r="AM17" s="35"/>
      <c r="AN17" s="35"/>
      <c r="AO17" s="35"/>
      <c r="AP17" s="37">
        <f t="shared" si="7"/>
        <v>0</v>
      </c>
      <c r="AQ17" s="35"/>
      <c r="AR17" s="35"/>
      <c r="AS17" s="35"/>
      <c r="AT17" s="35"/>
      <c r="AU17" s="37">
        <f t="shared" si="8"/>
        <v>0</v>
      </c>
      <c r="AV17" s="35"/>
      <c r="AW17" s="35"/>
      <c r="AX17" s="35"/>
      <c r="AY17" s="35"/>
      <c r="AZ17" s="37">
        <f t="shared" si="9"/>
        <v>0</v>
      </c>
      <c r="BA17" s="35"/>
      <c r="BB17" s="35"/>
      <c r="BC17" s="35"/>
      <c r="BD17" s="35"/>
      <c r="BE17" s="37">
        <f t="shared" si="10"/>
        <v>0</v>
      </c>
      <c r="BF17" s="35"/>
      <c r="BG17" s="35"/>
      <c r="BH17" s="35"/>
      <c r="BI17" s="35"/>
      <c r="BJ17" s="37">
        <f t="shared" si="11"/>
        <v>0</v>
      </c>
      <c r="BK17" s="37">
        <f t="shared" si="12"/>
        <v>0</v>
      </c>
    </row>
    <row r="18" spans="1:63" x14ac:dyDescent="0.35">
      <c r="A18" s="34" t="s">
        <v>1</v>
      </c>
      <c r="B18" s="34" t="s">
        <v>71</v>
      </c>
      <c r="C18" s="35"/>
      <c r="D18" s="35"/>
      <c r="E18" s="35"/>
      <c r="F18" s="35"/>
      <c r="G18" s="37">
        <f t="shared" si="0"/>
        <v>0</v>
      </c>
      <c r="H18" s="35"/>
      <c r="I18" s="35"/>
      <c r="J18" s="35"/>
      <c r="K18" s="35"/>
      <c r="L18" s="37">
        <f t="shared" si="1"/>
        <v>0</v>
      </c>
      <c r="M18" s="35"/>
      <c r="N18" s="35"/>
      <c r="O18" s="35"/>
      <c r="P18" s="35"/>
      <c r="Q18" s="37">
        <f t="shared" si="2"/>
        <v>0</v>
      </c>
      <c r="R18" s="35"/>
      <c r="S18" s="35"/>
      <c r="T18" s="35"/>
      <c r="U18" s="35"/>
      <c r="V18" s="37">
        <f t="shared" si="3"/>
        <v>0</v>
      </c>
      <c r="W18" s="35"/>
      <c r="X18" s="35"/>
      <c r="Y18" s="35"/>
      <c r="Z18" s="35"/>
      <c r="AA18" s="37">
        <f t="shared" si="4"/>
        <v>0</v>
      </c>
      <c r="AB18" s="35"/>
      <c r="AC18" s="35"/>
      <c r="AD18" s="35"/>
      <c r="AE18" s="35"/>
      <c r="AF18" s="37">
        <f t="shared" si="5"/>
        <v>0</v>
      </c>
      <c r="AG18" s="35"/>
      <c r="AH18" s="35"/>
      <c r="AI18" s="35"/>
      <c r="AJ18" s="35"/>
      <c r="AK18" s="37">
        <f t="shared" si="6"/>
        <v>0</v>
      </c>
      <c r="AL18" s="35"/>
      <c r="AM18" s="35"/>
      <c r="AN18" s="35"/>
      <c r="AO18" s="35"/>
      <c r="AP18" s="37">
        <f t="shared" si="7"/>
        <v>0</v>
      </c>
      <c r="AQ18" s="35"/>
      <c r="AR18" s="35"/>
      <c r="AS18" s="35"/>
      <c r="AT18" s="35"/>
      <c r="AU18" s="37">
        <f t="shared" si="8"/>
        <v>0</v>
      </c>
      <c r="AV18" s="35"/>
      <c r="AW18" s="35"/>
      <c r="AX18" s="35"/>
      <c r="AY18" s="35"/>
      <c r="AZ18" s="37">
        <f t="shared" si="9"/>
        <v>0</v>
      </c>
      <c r="BA18" s="35"/>
      <c r="BB18" s="35"/>
      <c r="BC18" s="35"/>
      <c r="BD18" s="35"/>
      <c r="BE18" s="37">
        <f t="shared" si="10"/>
        <v>0</v>
      </c>
      <c r="BF18" s="35"/>
      <c r="BG18" s="35"/>
      <c r="BH18" s="35"/>
      <c r="BI18" s="35"/>
      <c r="BJ18" s="37">
        <f t="shared" si="11"/>
        <v>0</v>
      </c>
      <c r="BK18" s="37">
        <f t="shared" si="12"/>
        <v>0</v>
      </c>
    </row>
    <row r="19" spans="1:63" x14ac:dyDescent="0.35">
      <c r="A19" s="34" t="s">
        <v>1</v>
      </c>
      <c r="B19" s="34" t="s">
        <v>74</v>
      </c>
      <c r="C19" s="35"/>
      <c r="D19" s="35"/>
      <c r="E19" s="35"/>
      <c r="F19" s="35"/>
      <c r="G19" s="37">
        <f t="shared" si="0"/>
        <v>0</v>
      </c>
      <c r="H19" s="35"/>
      <c r="I19" s="35"/>
      <c r="J19" s="35"/>
      <c r="K19" s="35"/>
      <c r="L19" s="37">
        <f t="shared" si="1"/>
        <v>0</v>
      </c>
      <c r="M19" s="35"/>
      <c r="N19" s="35"/>
      <c r="O19" s="35"/>
      <c r="P19" s="35"/>
      <c r="Q19" s="37">
        <f t="shared" si="2"/>
        <v>0</v>
      </c>
      <c r="R19" s="35"/>
      <c r="S19" s="35"/>
      <c r="T19" s="35"/>
      <c r="U19" s="35"/>
      <c r="V19" s="37">
        <f t="shared" si="3"/>
        <v>0</v>
      </c>
      <c r="W19" s="35"/>
      <c r="X19" s="35"/>
      <c r="Y19" s="35"/>
      <c r="Z19" s="35"/>
      <c r="AA19" s="37">
        <f t="shared" si="4"/>
        <v>0</v>
      </c>
      <c r="AB19" s="35"/>
      <c r="AC19" s="35"/>
      <c r="AD19" s="35"/>
      <c r="AE19" s="35"/>
      <c r="AF19" s="37">
        <f t="shared" si="5"/>
        <v>0</v>
      </c>
      <c r="AG19" s="35"/>
      <c r="AH19" s="35"/>
      <c r="AI19" s="35"/>
      <c r="AJ19" s="35"/>
      <c r="AK19" s="37">
        <f t="shared" si="6"/>
        <v>0</v>
      </c>
      <c r="AL19" s="35"/>
      <c r="AM19" s="35"/>
      <c r="AN19" s="35"/>
      <c r="AO19" s="35"/>
      <c r="AP19" s="37">
        <f t="shared" si="7"/>
        <v>0</v>
      </c>
      <c r="AQ19" s="35"/>
      <c r="AR19" s="35"/>
      <c r="AS19" s="35"/>
      <c r="AT19" s="35"/>
      <c r="AU19" s="37">
        <f t="shared" si="8"/>
        <v>0</v>
      </c>
      <c r="AV19" s="35"/>
      <c r="AW19" s="35"/>
      <c r="AX19" s="35"/>
      <c r="AY19" s="35"/>
      <c r="AZ19" s="37">
        <f t="shared" si="9"/>
        <v>0</v>
      </c>
      <c r="BA19" s="35"/>
      <c r="BB19" s="35"/>
      <c r="BC19" s="35"/>
      <c r="BD19" s="35"/>
      <c r="BE19" s="37">
        <f t="shared" si="10"/>
        <v>0</v>
      </c>
      <c r="BF19" s="35"/>
      <c r="BG19" s="35"/>
      <c r="BH19" s="35"/>
      <c r="BI19" s="35"/>
      <c r="BJ19" s="37">
        <f t="shared" si="11"/>
        <v>0</v>
      </c>
      <c r="BK19" s="37">
        <f t="shared" si="12"/>
        <v>0</v>
      </c>
    </row>
    <row r="20" spans="1:63" x14ac:dyDescent="0.35">
      <c r="A20" s="34" t="s">
        <v>1</v>
      </c>
      <c r="B20" s="34" t="s">
        <v>75</v>
      </c>
      <c r="C20" s="35"/>
      <c r="D20" s="35"/>
      <c r="E20" s="35"/>
      <c r="F20" s="35"/>
      <c r="G20" s="37">
        <f t="shared" si="0"/>
        <v>0</v>
      </c>
      <c r="H20" s="35"/>
      <c r="I20" s="35"/>
      <c r="J20" s="35"/>
      <c r="K20" s="35"/>
      <c r="L20" s="37">
        <f t="shared" si="1"/>
        <v>0</v>
      </c>
      <c r="M20" s="35"/>
      <c r="N20" s="35"/>
      <c r="O20" s="35"/>
      <c r="P20" s="35"/>
      <c r="Q20" s="37">
        <f t="shared" si="2"/>
        <v>0</v>
      </c>
      <c r="R20" s="35"/>
      <c r="S20" s="35"/>
      <c r="T20" s="35"/>
      <c r="U20" s="35"/>
      <c r="V20" s="37">
        <f t="shared" si="3"/>
        <v>0</v>
      </c>
      <c r="W20" s="35"/>
      <c r="X20" s="35"/>
      <c r="Y20" s="35"/>
      <c r="Z20" s="35"/>
      <c r="AA20" s="37">
        <f t="shared" si="4"/>
        <v>0</v>
      </c>
      <c r="AB20" s="35"/>
      <c r="AC20" s="35"/>
      <c r="AD20" s="35"/>
      <c r="AE20" s="35"/>
      <c r="AF20" s="37">
        <f t="shared" si="5"/>
        <v>0</v>
      </c>
      <c r="AG20" s="35"/>
      <c r="AH20" s="35"/>
      <c r="AI20" s="35"/>
      <c r="AJ20" s="35"/>
      <c r="AK20" s="37">
        <f t="shared" si="6"/>
        <v>0</v>
      </c>
      <c r="AL20" s="35"/>
      <c r="AM20" s="35"/>
      <c r="AN20" s="35"/>
      <c r="AO20" s="35"/>
      <c r="AP20" s="37">
        <f t="shared" si="7"/>
        <v>0</v>
      </c>
      <c r="AQ20" s="35"/>
      <c r="AR20" s="35"/>
      <c r="AS20" s="35"/>
      <c r="AT20" s="35"/>
      <c r="AU20" s="37">
        <f t="shared" si="8"/>
        <v>0</v>
      </c>
      <c r="AV20" s="35"/>
      <c r="AW20" s="35"/>
      <c r="AX20" s="35"/>
      <c r="AY20" s="35"/>
      <c r="AZ20" s="37">
        <f t="shared" si="9"/>
        <v>0</v>
      </c>
      <c r="BA20" s="35"/>
      <c r="BB20" s="35"/>
      <c r="BC20" s="35"/>
      <c r="BD20" s="35"/>
      <c r="BE20" s="37">
        <f t="shared" si="10"/>
        <v>0</v>
      </c>
      <c r="BF20" s="35"/>
      <c r="BG20" s="35"/>
      <c r="BH20" s="35"/>
      <c r="BI20" s="35"/>
      <c r="BJ20" s="37">
        <f t="shared" si="11"/>
        <v>0</v>
      </c>
      <c r="BK20" s="37">
        <f t="shared" si="12"/>
        <v>0</v>
      </c>
    </row>
    <row r="21" spans="1:63" x14ac:dyDescent="0.35">
      <c r="A21" s="34" t="s">
        <v>1</v>
      </c>
      <c r="B21" s="34" t="s">
        <v>109</v>
      </c>
      <c r="C21" s="35"/>
      <c r="D21" s="35"/>
      <c r="E21" s="35"/>
      <c r="F21" s="35"/>
      <c r="G21" s="37">
        <f t="shared" si="0"/>
        <v>0</v>
      </c>
      <c r="H21" s="35"/>
      <c r="I21" s="35"/>
      <c r="J21" s="35"/>
      <c r="K21" s="35"/>
      <c r="L21" s="37">
        <f t="shared" si="1"/>
        <v>0</v>
      </c>
      <c r="M21" s="35"/>
      <c r="N21" s="35"/>
      <c r="O21" s="35"/>
      <c r="P21" s="35"/>
      <c r="Q21" s="37">
        <f t="shared" si="2"/>
        <v>0</v>
      </c>
      <c r="R21" s="35"/>
      <c r="S21" s="35"/>
      <c r="T21" s="35"/>
      <c r="U21" s="35"/>
      <c r="V21" s="37">
        <f t="shared" si="3"/>
        <v>0</v>
      </c>
      <c r="W21" s="35"/>
      <c r="X21" s="35"/>
      <c r="Y21" s="35"/>
      <c r="Z21" s="35"/>
      <c r="AA21" s="37">
        <f t="shared" si="4"/>
        <v>0</v>
      </c>
      <c r="AB21" s="35"/>
      <c r="AC21" s="35"/>
      <c r="AD21" s="35"/>
      <c r="AE21" s="35"/>
      <c r="AF21" s="37">
        <f t="shared" si="5"/>
        <v>0</v>
      </c>
      <c r="AG21" s="35"/>
      <c r="AH21" s="35"/>
      <c r="AI21" s="35"/>
      <c r="AJ21" s="35"/>
      <c r="AK21" s="37">
        <f t="shared" si="6"/>
        <v>0</v>
      </c>
      <c r="AL21" s="35"/>
      <c r="AM21" s="35"/>
      <c r="AN21" s="35"/>
      <c r="AO21" s="35"/>
      <c r="AP21" s="37">
        <f t="shared" si="7"/>
        <v>0</v>
      </c>
      <c r="AQ21" s="35"/>
      <c r="AR21" s="35"/>
      <c r="AS21" s="35"/>
      <c r="AT21" s="35"/>
      <c r="AU21" s="37">
        <f t="shared" si="8"/>
        <v>0</v>
      </c>
      <c r="AV21" s="35"/>
      <c r="AW21" s="35"/>
      <c r="AX21" s="35"/>
      <c r="AY21" s="35"/>
      <c r="AZ21" s="37">
        <f t="shared" si="9"/>
        <v>0</v>
      </c>
      <c r="BA21" s="35"/>
      <c r="BB21" s="35"/>
      <c r="BC21" s="35"/>
      <c r="BD21" s="35"/>
      <c r="BE21" s="37">
        <f t="shared" si="10"/>
        <v>0</v>
      </c>
      <c r="BF21" s="35"/>
      <c r="BG21" s="35"/>
      <c r="BH21" s="35"/>
      <c r="BI21" s="35"/>
      <c r="BJ21" s="37">
        <f t="shared" si="11"/>
        <v>0</v>
      </c>
      <c r="BK21" s="37">
        <f t="shared" si="12"/>
        <v>0</v>
      </c>
    </row>
    <row r="22" spans="1:63" x14ac:dyDescent="0.35">
      <c r="A22" s="34" t="s">
        <v>1</v>
      </c>
      <c r="B22" s="34" t="s">
        <v>77</v>
      </c>
      <c r="C22" s="35"/>
      <c r="D22" s="35"/>
      <c r="E22" s="35"/>
      <c r="F22" s="35"/>
      <c r="G22" s="37">
        <f t="shared" si="0"/>
        <v>0</v>
      </c>
      <c r="H22" s="35"/>
      <c r="I22" s="35"/>
      <c r="J22" s="35"/>
      <c r="K22" s="35"/>
      <c r="L22" s="37">
        <f t="shared" si="1"/>
        <v>0</v>
      </c>
      <c r="M22" s="35"/>
      <c r="N22" s="35"/>
      <c r="O22" s="35"/>
      <c r="P22" s="35"/>
      <c r="Q22" s="37">
        <f t="shared" si="2"/>
        <v>0</v>
      </c>
      <c r="R22" s="35"/>
      <c r="S22" s="35"/>
      <c r="T22" s="35"/>
      <c r="U22" s="35"/>
      <c r="V22" s="37">
        <f t="shared" si="3"/>
        <v>0</v>
      </c>
      <c r="W22" s="35"/>
      <c r="X22" s="35"/>
      <c r="Y22" s="35"/>
      <c r="Z22" s="35"/>
      <c r="AA22" s="37">
        <f t="shared" si="4"/>
        <v>0</v>
      </c>
      <c r="AB22" s="35"/>
      <c r="AC22" s="35"/>
      <c r="AD22" s="35"/>
      <c r="AE22" s="35"/>
      <c r="AF22" s="37">
        <f t="shared" si="5"/>
        <v>0</v>
      </c>
      <c r="AG22" s="35"/>
      <c r="AH22" s="35"/>
      <c r="AI22" s="35"/>
      <c r="AJ22" s="35"/>
      <c r="AK22" s="37">
        <f t="shared" si="6"/>
        <v>0</v>
      </c>
      <c r="AL22" s="35"/>
      <c r="AM22" s="35"/>
      <c r="AN22" s="35"/>
      <c r="AO22" s="35"/>
      <c r="AP22" s="37">
        <f t="shared" si="7"/>
        <v>0</v>
      </c>
      <c r="AQ22" s="35"/>
      <c r="AR22" s="35"/>
      <c r="AS22" s="35"/>
      <c r="AT22" s="35"/>
      <c r="AU22" s="37">
        <f t="shared" si="8"/>
        <v>0</v>
      </c>
      <c r="AV22" s="35"/>
      <c r="AW22" s="35"/>
      <c r="AX22" s="35"/>
      <c r="AY22" s="35"/>
      <c r="AZ22" s="37">
        <f t="shared" si="9"/>
        <v>0</v>
      </c>
      <c r="BA22" s="35"/>
      <c r="BB22" s="35"/>
      <c r="BC22" s="35"/>
      <c r="BD22" s="35"/>
      <c r="BE22" s="37">
        <f t="shared" si="10"/>
        <v>0</v>
      </c>
      <c r="BF22" s="35"/>
      <c r="BG22" s="35"/>
      <c r="BH22" s="35"/>
      <c r="BI22" s="35"/>
      <c r="BJ22" s="37">
        <f t="shared" si="11"/>
        <v>0</v>
      </c>
      <c r="BK22" s="37">
        <f t="shared" si="12"/>
        <v>0</v>
      </c>
    </row>
    <row r="23" spans="1:63" x14ac:dyDescent="0.35">
      <c r="A23" s="34" t="s">
        <v>1</v>
      </c>
      <c r="B23" s="34" t="s">
        <v>110</v>
      </c>
      <c r="C23" s="35"/>
      <c r="D23" s="35"/>
      <c r="E23" s="35"/>
      <c r="F23" s="35"/>
      <c r="G23" s="37">
        <f t="shared" si="0"/>
        <v>0</v>
      </c>
      <c r="H23" s="35"/>
      <c r="I23" s="35"/>
      <c r="J23" s="35"/>
      <c r="K23" s="35"/>
      <c r="L23" s="37">
        <f t="shared" si="1"/>
        <v>0</v>
      </c>
      <c r="M23" s="35"/>
      <c r="N23" s="35"/>
      <c r="O23" s="35"/>
      <c r="P23" s="35"/>
      <c r="Q23" s="37">
        <f t="shared" si="2"/>
        <v>0</v>
      </c>
      <c r="R23" s="35"/>
      <c r="S23" s="35"/>
      <c r="T23" s="35"/>
      <c r="U23" s="35"/>
      <c r="V23" s="37">
        <f t="shared" si="3"/>
        <v>0</v>
      </c>
      <c r="W23" s="35"/>
      <c r="X23" s="35"/>
      <c r="Y23" s="35"/>
      <c r="Z23" s="35"/>
      <c r="AA23" s="37">
        <f t="shared" si="4"/>
        <v>0</v>
      </c>
      <c r="AB23" s="35"/>
      <c r="AC23" s="35"/>
      <c r="AD23" s="35"/>
      <c r="AE23" s="35"/>
      <c r="AF23" s="37">
        <f t="shared" si="5"/>
        <v>0</v>
      </c>
      <c r="AG23" s="35"/>
      <c r="AH23" s="35"/>
      <c r="AI23" s="35"/>
      <c r="AJ23" s="35"/>
      <c r="AK23" s="37">
        <f t="shared" si="6"/>
        <v>0</v>
      </c>
      <c r="AL23" s="35"/>
      <c r="AM23" s="35"/>
      <c r="AN23" s="35"/>
      <c r="AO23" s="35"/>
      <c r="AP23" s="37">
        <f t="shared" si="7"/>
        <v>0</v>
      </c>
      <c r="AQ23" s="35"/>
      <c r="AR23" s="35"/>
      <c r="AS23" s="35"/>
      <c r="AT23" s="35"/>
      <c r="AU23" s="37">
        <f t="shared" si="8"/>
        <v>0</v>
      </c>
      <c r="AV23" s="35"/>
      <c r="AW23" s="35"/>
      <c r="AX23" s="35"/>
      <c r="AY23" s="35"/>
      <c r="AZ23" s="37">
        <f t="shared" si="9"/>
        <v>0</v>
      </c>
      <c r="BA23" s="35"/>
      <c r="BB23" s="35"/>
      <c r="BC23" s="35"/>
      <c r="BD23" s="35"/>
      <c r="BE23" s="37">
        <f t="shared" si="10"/>
        <v>0</v>
      </c>
      <c r="BF23" s="35"/>
      <c r="BG23" s="35"/>
      <c r="BH23" s="35"/>
      <c r="BI23" s="35"/>
      <c r="BJ23" s="37">
        <f t="shared" si="11"/>
        <v>0</v>
      </c>
      <c r="BK23" s="37">
        <f t="shared" si="12"/>
        <v>0</v>
      </c>
    </row>
    <row r="24" spans="1:63" x14ac:dyDescent="0.35">
      <c r="A24" s="34" t="s">
        <v>1</v>
      </c>
      <c r="B24" s="34" t="s">
        <v>68</v>
      </c>
      <c r="C24" s="35"/>
      <c r="D24" s="35"/>
      <c r="E24" s="35"/>
      <c r="F24" s="35"/>
      <c r="G24" s="37">
        <f t="shared" si="0"/>
        <v>0</v>
      </c>
      <c r="H24" s="35"/>
      <c r="I24" s="35"/>
      <c r="J24" s="35"/>
      <c r="K24" s="35"/>
      <c r="L24" s="37">
        <f t="shared" si="1"/>
        <v>0</v>
      </c>
      <c r="M24" s="35"/>
      <c r="N24" s="35"/>
      <c r="O24" s="35"/>
      <c r="P24" s="35"/>
      <c r="Q24" s="37">
        <f t="shared" si="2"/>
        <v>0</v>
      </c>
      <c r="R24" s="35"/>
      <c r="S24" s="35"/>
      <c r="T24" s="35"/>
      <c r="U24" s="35"/>
      <c r="V24" s="37">
        <f t="shared" si="3"/>
        <v>0</v>
      </c>
      <c r="W24" s="35"/>
      <c r="X24" s="35"/>
      <c r="Y24" s="35"/>
      <c r="Z24" s="35"/>
      <c r="AA24" s="37">
        <f t="shared" si="4"/>
        <v>0</v>
      </c>
      <c r="AB24" s="35"/>
      <c r="AC24" s="35"/>
      <c r="AD24" s="35"/>
      <c r="AE24" s="35"/>
      <c r="AF24" s="37">
        <f t="shared" si="5"/>
        <v>0</v>
      </c>
      <c r="AG24" s="35"/>
      <c r="AH24" s="35"/>
      <c r="AI24" s="35"/>
      <c r="AJ24" s="35"/>
      <c r="AK24" s="37">
        <f t="shared" si="6"/>
        <v>0</v>
      </c>
      <c r="AL24" s="35"/>
      <c r="AM24" s="35"/>
      <c r="AN24" s="35"/>
      <c r="AO24" s="35"/>
      <c r="AP24" s="37">
        <f t="shared" si="7"/>
        <v>0</v>
      </c>
      <c r="AQ24" s="35"/>
      <c r="AR24" s="35"/>
      <c r="AS24" s="35"/>
      <c r="AT24" s="35"/>
      <c r="AU24" s="37">
        <f t="shared" si="8"/>
        <v>0</v>
      </c>
      <c r="AV24" s="35"/>
      <c r="AW24" s="35"/>
      <c r="AX24" s="35"/>
      <c r="AY24" s="35"/>
      <c r="AZ24" s="37">
        <f t="shared" si="9"/>
        <v>0</v>
      </c>
      <c r="BA24" s="35"/>
      <c r="BB24" s="35"/>
      <c r="BC24" s="35"/>
      <c r="BD24" s="35"/>
      <c r="BE24" s="37">
        <f t="shared" si="10"/>
        <v>0</v>
      </c>
      <c r="BF24" s="35"/>
      <c r="BG24" s="35"/>
      <c r="BH24" s="35"/>
      <c r="BI24" s="35"/>
      <c r="BJ24" s="37">
        <f t="shared" si="11"/>
        <v>0</v>
      </c>
      <c r="BK24" s="37">
        <f t="shared" si="12"/>
        <v>0</v>
      </c>
    </row>
    <row r="25" spans="1:63" x14ac:dyDescent="0.35">
      <c r="A25" s="34" t="s">
        <v>1</v>
      </c>
      <c r="B25" s="34" t="s">
        <v>72</v>
      </c>
      <c r="C25" s="35"/>
      <c r="D25" s="35"/>
      <c r="E25" s="35"/>
      <c r="F25" s="35"/>
      <c r="G25" s="37">
        <f t="shared" si="0"/>
        <v>0</v>
      </c>
      <c r="H25" s="35"/>
      <c r="I25" s="35"/>
      <c r="J25" s="35"/>
      <c r="K25" s="35"/>
      <c r="L25" s="37">
        <f t="shared" si="1"/>
        <v>0</v>
      </c>
      <c r="M25" s="35"/>
      <c r="N25" s="35"/>
      <c r="O25" s="35"/>
      <c r="P25" s="35"/>
      <c r="Q25" s="37">
        <f t="shared" si="2"/>
        <v>0</v>
      </c>
      <c r="R25" s="35"/>
      <c r="S25" s="35"/>
      <c r="T25" s="35"/>
      <c r="U25" s="35"/>
      <c r="V25" s="37">
        <f t="shared" si="3"/>
        <v>0</v>
      </c>
      <c r="W25" s="35"/>
      <c r="X25" s="35"/>
      <c r="Y25" s="35"/>
      <c r="Z25" s="35"/>
      <c r="AA25" s="37">
        <f t="shared" si="4"/>
        <v>0</v>
      </c>
      <c r="AB25" s="35"/>
      <c r="AC25" s="35"/>
      <c r="AD25" s="35"/>
      <c r="AE25" s="35"/>
      <c r="AF25" s="37">
        <f t="shared" si="5"/>
        <v>0</v>
      </c>
      <c r="AG25" s="35"/>
      <c r="AH25" s="35"/>
      <c r="AI25" s="35"/>
      <c r="AJ25" s="35"/>
      <c r="AK25" s="37">
        <f t="shared" si="6"/>
        <v>0</v>
      </c>
      <c r="AL25" s="35"/>
      <c r="AM25" s="35"/>
      <c r="AN25" s="35"/>
      <c r="AO25" s="35"/>
      <c r="AP25" s="37">
        <f t="shared" si="7"/>
        <v>0</v>
      </c>
      <c r="AQ25" s="35"/>
      <c r="AR25" s="35"/>
      <c r="AS25" s="35"/>
      <c r="AT25" s="35"/>
      <c r="AU25" s="37">
        <f t="shared" si="8"/>
        <v>0</v>
      </c>
      <c r="AV25" s="35"/>
      <c r="AW25" s="35"/>
      <c r="AX25" s="35"/>
      <c r="AY25" s="35"/>
      <c r="AZ25" s="37">
        <f t="shared" si="9"/>
        <v>0</v>
      </c>
      <c r="BA25" s="35"/>
      <c r="BB25" s="35"/>
      <c r="BC25" s="35"/>
      <c r="BD25" s="35"/>
      <c r="BE25" s="37">
        <f t="shared" si="10"/>
        <v>0</v>
      </c>
      <c r="BF25" s="35"/>
      <c r="BG25" s="35"/>
      <c r="BH25" s="35"/>
      <c r="BI25" s="35"/>
      <c r="BJ25" s="37">
        <f t="shared" si="11"/>
        <v>0</v>
      </c>
      <c r="BK25" s="37">
        <f t="shared" si="12"/>
        <v>0</v>
      </c>
    </row>
    <row r="26" spans="1:63" x14ac:dyDescent="0.35">
      <c r="A26" s="34" t="s">
        <v>1</v>
      </c>
      <c r="B26" s="34" t="s">
        <v>69</v>
      </c>
      <c r="C26" s="35"/>
      <c r="D26" s="35"/>
      <c r="E26" s="35"/>
      <c r="F26" s="35"/>
      <c r="G26" s="37">
        <f t="shared" si="0"/>
        <v>0</v>
      </c>
      <c r="H26" s="35"/>
      <c r="I26" s="35"/>
      <c r="J26" s="35"/>
      <c r="K26" s="35"/>
      <c r="L26" s="37">
        <f t="shared" si="1"/>
        <v>0</v>
      </c>
      <c r="M26" s="35"/>
      <c r="N26" s="35"/>
      <c r="O26" s="35"/>
      <c r="P26" s="35"/>
      <c r="Q26" s="37">
        <f t="shared" si="2"/>
        <v>0</v>
      </c>
      <c r="R26" s="35"/>
      <c r="S26" s="35"/>
      <c r="T26" s="35"/>
      <c r="U26" s="35"/>
      <c r="V26" s="37">
        <f t="shared" si="3"/>
        <v>0</v>
      </c>
      <c r="W26" s="35"/>
      <c r="X26" s="35"/>
      <c r="Y26" s="35"/>
      <c r="Z26" s="35"/>
      <c r="AA26" s="37">
        <f t="shared" si="4"/>
        <v>0</v>
      </c>
      <c r="AB26" s="35"/>
      <c r="AC26" s="35"/>
      <c r="AD26" s="35"/>
      <c r="AE26" s="35"/>
      <c r="AF26" s="37">
        <f t="shared" si="5"/>
        <v>0</v>
      </c>
      <c r="AG26" s="35"/>
      <c r="AH26" s="35"/>
      <c r="AI26" s="35"/>
      <c r="AJ26" s="35"/>
      <c r="AK26" s="37">
        <f t="shared" si="6"/>
        <v>0</v>
      </c>
      <c r="AL26" s="35"/>
      <c r="AM26" s="35"/>
      <c r="AN26" s="35"/>
      <c r="AO26" s="35"/>
      <c r="AP26" s="37">
        <f t="shared" si="7"/>
        <v>0</v>
      </c>
      <c r="AQ26" s="35"/>
      <c r="AR26" s="35"/>
      <c r="AS26" s="35"/>
      <c r="AT26" s="35"/>
      <c r="AU26" s="37">
        <f t="shared" si="8"/>
        <v>0</v>
      </c>
      <c r="AV26" s="35"/>
      <c r="AW26" s="35"/>
      <c r="AX26" s="35"/>
      <c r="AY26" s="35"/>
      <c r="AZ26" s="37">
        <f t="shared" si="9"/>
        <v>0</v>
      </c>
      <c r="BA26" s="35"/>
      <c r="BB26" s="35"/>
      <c r="BC26" s="35"/>
      <c r="BD26" s="35"/>
      <c r="BE26" s="37">
        <f t="shared" si="10"/>
        <v>0</v>
      </c>
      <c r="BF26" s="35"/>
      <c r="BG26" s="35"/>
      <c r="BH26" s="35"/>
      <c r="BI26" s="35"/>
      <c r="BJ26" s="37">
        <f t="shared" si="11"/>
        <v>0</v>
      </c>
      <c r="BK26" s="37">
        <f t="shared" si="12"/>
        <v>0</v>
      </c>
    </row>
    <row r="27" spans="1:63" x14ac:dyDescent="0.35">
      <c r="A27" s="34" t="s">
        <v>1</v>
      </c>
      <c r="B27" s="34" t="s">
        <v>73</v>
      </c>
      <c r="C27" s="35"/>
      <c r="D27" s="35"/>
      <c r="E27" s="35"/>
      <c r="F27" s="35"/>
      <c r="G27" s="37">
        <f t="shared" si="0"/>
        <v>0</v>
      </c>
      <c r="H27" s="35"/>
      <c r="I27" s="35"/>
      <c r="J27" s="35"/>
      <c r="K27" s="35"/>
      <c r="L27" s="37">
        <f t="shared" si="1"/>
        <v>0</v>
      </c>
      <c r="M27" s="35"/>
      <c r="N27" s="35"/>
      <c r="O27" s="35"/>
      <c r="P27" s="35"/>
      <c r="Q27" s="37">
        <f t="shared" si="2"/>
        <v>0</v>
      </c>
      <c r="R27" s="35"/>
      <c r="S27" s="35"/>
      <c r="T27" s="35"/>
      <c r="U27" s="35"/>
      <c r="V27" s="37">
        <f t="shared" si="3"/>
        <v>0</v>
      </c>
      <c r="W27" s="35"/>
      <c r="X27" s="35"/>
      <c r="Y27" s="35"/>
      <c r="Z27" s="35"/>
      <c r="AA27" s="37">
        <f t="shared" si="4"/>
        <v>0</v>
      </c>
      <c r="AB27" s="35"/>
      <c r="AC27" s="35"/>
      <c r="AD27" s="35"/>
      <c r="AE27" s="35"/>
      <c r="AF27" s="37">
        <f t="shared" si="5"/>
        <v>0</v>
      </c>
      <c r="AG27" s="35"/>
      <c r="AH27" s="35"/>
      <c r="AI27" s="35"/>
      <c r="AJ27" s="35"/>
      <c r="AK27" s="37">
        <f t="shared" si="6"/>
        <v>0</v>
      </c>
      <c r="AL27" s="35"/>
      <c r="AM27" s="35"/>
      <c r="AN27" s="35"/>
      <c r="AO27" s="35"/>
      <c r="AP27" s="37">
        <f t="shared" si="7"/>
        <v>0</v>
      </c>
      <c r="AQ27" s="35"/>
      <c r="AR27" s="35"/>
      <c r="AS27" s="35"/>
      <c r="AT27" s="35"/>
      <c r="AU27" s="37">
        <f t="shared" si="8"/>
        <v>0</v>
      </c>
      <c r="AV27" s="35"/>
      <c r="AW27" s="35"/>
      <c r="AX27" s="35"/>
      <c r="AY27" s="35"/>
      <c r="AZ27" s="37">
        <f t="shared" si="9"/>
        <v>0</v>
      </c>
      <c r="BA27" s="35"/>
      <c r="BB27" s="35"/>
      <c r="BC27" s="35"/>
      <c r="BD27" s="35"/>
      <c r="BE27" s="37">
        <f t="shared" si="10"/>
        <v>0</v>
      </c>
      <c r="BF27" s="35"/>
      <c r="BG27" s="35"/>
      <c r="BH27" s="35"/>
      <c r="BI27" s="35"/>
      <c r="BJ27" s="37">
        <f t="shared" si="11"/>
        <v>0</v>
      </c>
      <c r="BK27" s="37">
        <f t="shared" si="12"/>
        <v>0</v>
      </c>
    </row>
    <row r="28" spans="1:63" x14ac:dyDescent="0.35">
      <c r="A28" s="34" t="s">
        <v>1</v>
      </c>
      <c r="B28" s="34" t="s">
        <v>80</v>
      </c>
      <c r="C28" s="35"/>
      <c r="D28" s="35"/>
      <c r="E28" s="35"/>
      <c r="F28" s="35"/>
      <c r="G28" s="37">
        <f t="shared" si="0"/>
        <v>0</v>
      </c>
      <c r="H28" s="35"/>
      <c r="I28" s="35"/>
      <c r="J28" s="35"/>
      <c r="K28" s="35"/>
      <c r="L28" s="37">
        <f t="shared" si="1"/>
        <v>0</v>
      </c>
      <c r="M28" s="35"/>
      <c r="N28" s="35"/>
      <c r="O28" s="35"/>
      <c r="P28" s="35"/>
      <c r="Q28" s="37">
        <f t="shared" si="2"/>
        <v>0</v>
      </c>
      <c r="R28" s="35"/>
      <c r="S28" s="35"/>
      <c r="T28" s="35"/>
      <c r="U28" s="35"/>
      <c r="V28" s="37">
        <f t="shared" si="3"/>
        <v>0</v>
      </c>
      <c r="W28" s="35"/>
      <c r="X28" s="35"/>
      <c r="Y28" s="35"/>
      <c r="Z28" s="35"/>
      <c r="AA28" s="37">
        <f t="shared" si="4"/>
        <v>0</v>
      </c>
      <c r="AB28" s="35"/>
      <c r="AC28" s="35"/>
      <c r="AD28" s="35"/>
      <c r="AE28" s="35"/>
      <c r="AF28" s="37">
        <f t="shared" si="5"/>
        <v>0</v>
      </c>
      <c r="AG28" s="35"/>
      <c r="AH28" s="35"/>
      <c r="AI28" s="35"/>
      <c r="AJ28" s="35"/>
      <c r="AK28" s="37">
        <f t="shared" si="6"/>
        <v>0</v>
      </c>
      <c r="AL28" s="35"/>
      <c r="AM28" s="35"/>
      <c r="AN28" s="35"/>
      <c r="AO28" s="35"/>
      <c r="AP28" s="37">
        <f t="shared" si="7"/>
        <v>0</v>
      </c>
      <c r="AQ28" s="35"/>
      <c r="AR28" s="35"/>
      <c r="AS28" s="35"/>
      <c r="AT28" s="35"/>
      <c r="AU28" s="37">
        <f t="shared" si="8"/>
        <v>0</v>
      </c>
      <c r="AV28" s="35"/>
      <c r="AW28" s="35"/>
      <c r="AX28" s="35"/>
      <c r="AY28" s="35"/>
      <c r="AZ28" s="37">
        <f t="shared" si="9"/>
        <v>0</v>
      </c>
      <c r="BA28" s="35"/>
      <c r="BB28" s="35"/>
      <c r="BC28" s="35"/>
      <c r="BD28" s="35"/>
      <c r="BE28" s="37">
        <f t="shared" si="10"/>
        <v>0</v>
      </c>
      <c r="BF28" s="35"/>
      <c r="BG28" s="35"/>
      <c r="BH28" s="35"/>
      <c r="BI28" s="35"/>
      <c r="BJ28" s="37">
        <f t="shared" si="11"/>
        <v>0</v>
      </c>
      <c r="BK28" s="37">
        <f t="shared" si="12"/>
        <v>0</v>
      </c>
    </row>
    <row r="29" spans="1:63" x14ac:dyDescent="0.35">
      <c r="A29" s="34" t="s">
        <v>1</v>
      </c>
      <c r="B29" s="34" t="s">
        <v>81</v>
      </c>
      <c r="C29" s="35"/>
      <c r="D29" s="35"/>
      <c r="E29" s="35"/>
      <c r="F29" s="35"/>
      <c r="G29" s="37">
        <f t="shared" si="0"/>
        <v>0</v>
      </c>
      <c r="H29" s="35"/>
      <c r="I29" s="35"/>
      <c r="J29" s="35"/>
      <c r="K29" s="35"/>
      <c r="L29" s="37">
        <f t="shared" si="1"/>
        <v>0</v>
      </c>
      <c r="M29" s="35"/>
      <c r="N29" s="35"/>
      <c r="O29" s="35"/>
      <c r="P29" s="35"/>
      <c r="Q29" s="37">
        <f t="shared" si="2"/>
        <v>0</v>
      </c>
      <c r="R29" s="35"/>
      <c r="S29" s="35"/>
      <c r="T29" s="35"/>
      <c r="U29" s="35"/>
      <c r="V29" s="37">
        <f t="shared" si="3"/>
        <v>0</v>
      </c>
      <c r="W29" s="35"/>
      <c r="X29" s="35"/>
      <c r="Y29" s="35"/>
      <c r="Z29" s="35"/>
      <c r="AA29" s="37">
        <f t="shared" si="4"/>
        <v>0</v>
      </c>
      <c r="AB29" s="35"/>
      <c r="AC29" s="35"/>
      <c r="AD29" s="35"/>
      <c r="AE29" s="35"/>
      <c r="AF29" s="37">
        <f t="shared" si="5"/>
        <v>0</v>
      </c>
      <c r="AG29" s="35"/>
      <c r="AH29" s="35"/>
      <c r="AI29" s="35"/>
      <c r="AJ29" s="35"/>
      <c r="AK29" s="37">
        <f t="shared" si="6"/>
        <v>0</v>
      </c>
      <c r="AL29" s="35"/>
      <c r="AM29" s="35"/>
      <c r="AN29" s="35"/>
      <c r="AO29" s="35"/>
      <c r="AP29" s="37">
        <f t="shared" si="7"/>
        <v>0</v>
      </c>
      <c r="AQ29" s="35"/>
      <c r="AR29" s="35"/>
      <c r="AS29" s="35"/>
      <c r="AT29" s="35"/>
      <c r="AU29" s="37">
        <f t="shared" si="8"/>
        <v>0</v>
      </c>
      <c r="AV29" s="35"/>
      <c r="AW29" s="35"/>
      <c r="AX29" s="35"/>
      <c r="AY29" s="35"/>
      <c r="AZ29" s="37">
        <f t="shared" si="9"/>
        <v>0</v>
      </c>
      <c r="BA29" s="35"/>
      <c r="BB29" s="35"/>
      <c r="BC29" s="35"/>
      <c r="BD29" s="35"/>
      <c r="BE29" s="37">
        <f t="shared" si="10"/>
        <v>0</v>
      </c>
      <c r="BF29" s="35"/>
      <c r="BG29" s="35"/>
      <c r="BH29" s="35"/>
      <c r="BI29" s="35"/>
      <c r="BJ29" s="37">
        <f t="shared" si="11"/>
        <v>0</v>
      </c>
      <c r="BK29" s="37">
        <f t="shared" si="12"/>
        <v>0</v>
      </c>
    </row>
    <row r="30" spans="1:63" x14ac:dyDescent="0.35">
      <c r="A30" s="34" t="s">
        <v>1</v>
      </c>
      <c r="B30" s="34" t="s">
        <v>82</v>
      </c>
      <c r="C30" s="35"/>
      <c r="D30" s="35"/>
      <c r="E30" s="35"/>
      <c r="F30" s="35"/>
      <c r="G30" s="37">
        <f t="shared" si="0"/>
        <v>0</v>
      </c>
      <c r="H30" s="35"/>
      <c r="I30" s="35"/>
      <c r="J30" s="35"/>
      <c r="K30" s="35"/>
      <c r="L30" s="37">
        <f t="shared" si="1"/>
        <v>0</v>
      </c>
      <c r="M30" s="35"/>
      <c r="N30" s="35"/>
      <c r="O30" s="35"/>
      <c r="P30" s="35"/>
      <c r="Q30" s="37">
        <f t="shared" si="2"/>
        <v>0</v>
      </c>
      <c r="R30" s="35"/>
      <c r="S30" s="35"/>
      <c r="T30" s="35"/>
      <c r="U30" s="35"/>
      <c r="V30" s="37">
        <f t="shared" si="3"/>
        <v>0</v>
      </c>
      <c r="W30" s="35"/>
      <c r="X30" s="35"/>
      <c r="Y30" s="35"/>
      <c r="Z30" s="35"/>
      <c r="AA30" s="37">
        <f t="shared" si="4"/>
        <v>0</v>
      </c>
      <c r="AB30" s="35"/>
      <c r="AC30" s="35"/>
      <c r="AD30" s="35"/>
      <c r="AE30" s="35"/>
      <c r="AF30" s="37">
        <f t="shared" si="5"/>
        <v>0</v>
      </c>
      <c r="AG30" s="35"/>
      <c r="AH30" s="35"/>
      <c r="AI30" s="35"/>
      <c r="AJ30" s="35"/>
      <c r="AK30" s="37">
        <f t="shared" si="6"/>
        <v>0</v>
      </c>
      <c r="AL30" s="35"/>
      <c r="AM30" s="35"/>
      <c r="AN30" s="35"/>
      <c r="AO30" s="35"/>
      <c r="AP30" s="37">
        <f t="shared" si="7"/>
        <v>0</v>
      </c>
      <c r="AQ30" s="35"/>
      <c r="AR30" s="35"/>
      <c r="AS30" s="35"/>
      <c r="AT30" s="35"/>
      <c r="AU30" s="37">
        <f t="shared" si="8"/>
        <v>0</v>
      </c>
      <c r="AV30" s="35"/>
      <c r="AW30" s="35"/>
      <c r="AX30" s="35"/>
      <c r="AY30" s="35"/>
      <c r="AZ30" s="37">
        <f t="shared" si="9"/>
        <v>0</v>
      </c>
      <c r="BA30" s="35"/>
      <c r="BB30" s="35"/>
      <c r="BC30" s="35"/>
      <c r="BD30" s="35"/>
      <c r="BE30" s="37">
        <f t="shared" si="10"/>
        <v>0</v>
      </c>
      <c r="BF30" s="35"/>
      <c r="BG30" s="35"/>
      <c r="BH30" s="35"/>
      <c r="BI30" s="35"/>
      <c r="BJ30" s="37">
        <f t="shared" si="11"/>
        <v>0</v>
      </c>
      <c r="BK30" s="37">
        <f t="shared" si="12"/>
        <v>0</v>
      </c>
    </row>
    <row r="31" spans="1:63" x14ac:dyDescent="0.35">
      <c r="A31" s="34" t="s">
        <v>1</v>
      </c>
      <c r="B31" s="34" t="s">
        <v>65</v>
      </c>
      <c r="C31" s="35"/>
      <c r="D31" s="35"/>
      <c r="E31" s="35"/>
      <c r="F31" s="35"/>
      <c r="G31" s="37">
        <f t="shared" si="0"/>
        <v>0</v>
      </c>
      <c r="H31" s="35"/>
      <c r="I31" s="35"/>
      <c r="J31" s="35"/>
      <c r="K31" s="35"/>
      <c r="L31" s="37">
        <f t="shared" si="1"/>
        <v>0</v>
      </c>
      <c r="M31" s="35"/>
      <c r="N31" s="35"/>
      <c r="O31" s="35"/>
      <c r="P31" s="35"/>
      <c r="Q31" s="37">
        <f t="shared" si="2"/>
        <v>0</v>
      </c>
      <c r="R31" s="35"/>
      <c r="S31" s="35"/>
      <c r="T31" s="35"/>
      <c r="U31" s="35"/>
      <c r="V31" s="37">
        <f t="shared" si="3"/>
        <v>0</v>
      </c>
      <c r="W31" s="35"/>
      <c r="X31" s="35"/>
      <c r="Y31" s="35"/>
      <c r="Z31" s="35"/>
      <c r="AA31" s="37">
        <f t="shared" si="4"/>
        <v>0</v>
      </c>
      <c r="AB31" s="35"/>
      <c r="AC31" s="35"/>
      <c r="AD31" s="35"/>
      <c r="AE31" s="35"/>
      <c r="AF31" s="37">
        <f t="shared" si="5"/>
        <v>0</v>
      </c>
      <c r="AG31" s="35"/>
      <c r="AH31" s="35"/>
      <c r="AI31" s="35"/>
      <c r="AJ31" s="35"/>
      <c r="AK31" s="37">
        <f t="shared" si="6"/>
        <v>0</v>
      </c>
      <c r="AL31" s="35"/>
      <c r="AM31" s="35"/>
      <c r="AN31" s="35"/>
      <c r="AO31" s="35"/>
      <c r="AP31" s="37">
        <f t="shared" si="7"/>
        <v>0</v>
      </c>
      <c r="AQ31" s="35"/>
      <c r="AR31" s="35"/>
      <c r="AS31" s="35"/>
      <c r="AT31" s="35"/>
      <c r="AU31" s="37">
        <f t="shared" si="8"/>
        <v>0</v>
      </c>
      <c r="AV31" s="35"/>
      <c r="AW31" s="35"/>
      <c r="AX31" s="35"/>
      <c r="AY31" s="35"/>
      <c r="AZ31" s="37">
        <f t="shared" si="9"/>
        <v>0</v>
      </c>
      <c r="BA31" s="35"/>
      <c r="BB31" s="35"/>
      <c r="BC31" s="35"/>
      <c r="BD31" s="35"/>
      <c r="BE31" s="37">
        <f t="shared" si="10"/>
        <v>0</v>
      </c>
      <c r="BF31" s="35"/>
      <c r="BG31" s="35"/>
      <c r="BH31" s="35"/>
      <c r="BI31" s="35"/>
      <c r="BJ31" s="37">
        <f t="shared" si="11"/>
        <v>0</v>
      </c>
      <c r="BK31" s="37">
        <f t="shared" si="12"/>
        <v>0</v>
      </c>
    </row>
    <row r="32" spans="1:63" x14ac:dyDescent="0.35">
      <c r="A32" s="34" t="s">
        <v>1</v>
      </c>
      <c r="B32" s="34" t="s">
        <v>86</v>
      </c>
      <c r="C32" s="35"/>
      <c r="D32" s="35"/>
      <c r="E32" s="35"/>
      <c r="F32" s="35"/>
      <c r="G32" s="37">
        <f t="shared" si="0"/>
        <v>0</v>
      </c>
      <c r="H32" s="35"/>
      <c r="I32" s="35"/>
      <c r="J32" s="35"/>
      <c r="K32" s="35"/>
      <c r="L32" s="37">
        <f t="shared" si="1"/>
        <v>0</v>
      </c>
      <c r="M32" s="35"/>
      <c r="N32" s="35"/>
      <c r="O32" s="35"/>
      <c r="P32" s="35"/>
      <c r="Q32" s="37">
        <f t="shared" si="2"/>
        <v>0</v>
      </c>
      <c r="R32" s="35"/>
      <c r="S32" s="35"/>
      <c r="T32" s="35"/>
      <c r="U32" s="35"/>
      <c r="V32" s="37">
        <f t="shared" si="3"/>
        <v>0</v>
      </c>
      <c r="W32" s="35"/>
      <c r="X32" s="35"/>
      <c r="Y32" s="35"/>
      <c r="Z32" s="35"/>
      <c r="AA32" s="37">
        <f t="shared" si="4"/>
        <v>0</v>
      </c>
      <c r="AB32" s="35"/>
      <c r="AC32" s="35"/>
      <c r="AD32" s="35"/>
      <c r="AE32" s="35"/>
      <c r="AF32" s="37">
        <f t="shared" si="5"/>
        <v>0</v>
      </c>
      <c r="AG32" s="35"/>
      <c r="AH32" s="35"/>
      <c r="AI32" s="35"/>
      <c r="AJ32" s="35"/>
      <c r="AK32" s="37">
        <f t="shared" si="6"/>
        <v>0</v>
      </c>
      <c r="AL32" s="35"/>
      <c r="AM32" s="35"/>
      <c r="AN32" s="35"/>
      <c r="AO32" s="35"/>
      <c r="AP32" s="37">
        <f t="shared" si="7"/>
        <v>0</v>
      </c>
      <c r="AQ32" s="35"/>
      <c r="AR32" s="35"/>
      <c r="AS32" s="35"/>
      <c r="AT32" s="35"/>
      <c r="AU32" s="37">
        <f t="shared" si="8"/>
        <v>0</v>
      </c>
      <c r="AV32" s="35"/>
      <c r="AW32" s="35"/>
      <c r="AX32" s="35"/>
      <c r="AY32" s="35"/>
      <c r="AZ32" s="37">
        <f t="shared" si="9"/>
        <v>0</v>
      </c>
      <c r="BA32" s="35"/>
      <c r="BB32" s="35"/>
      <c r="BC32" s="35"/>
      <c r="BD32" s="35"/>
      <c r="BE32" s="37">
        <f t="shared" si="10"/>
        <v>0</v>
      </c>
      <c r="BF32" s="35"/>
      <c r="BG32" s="35"/>
      <c r="BH32" s="35"/>
      <c r="BI32" s="35"/>
      <c r="BJ32" s="37">
        <f t="shared" si="11"/>
        <v>0</v>
      </c>
      <c r="BK32" s="37">
        <f t="shared" si="12"/>
        <v>0</v>
      </c>
    </row>
    <row r="33" spans="1:65" x14ac:dyDescent="0.35">
      <c r="A33" s="34" t="s">
        <v>1</v>
      </c>
      <c r="B33" s="34" t="s">
        <v>111</v>
      </c>
      <c r="C33" s="35"/>
      <c r="D33" s="35"/>
      <c r="E33" s="35"/>
      <c r="F33" s="35"/>
      <c r="G33" s="37">
        <f t="shared" si="0"/>
        <v>0</v>
      </c>
      <c r="H33" s="35"/>
      <c r="I33" s="35"/>
      <c r="J33" s="35"/>
      <c r="K33" s="35"/>
      <c r="L33" s="37">
        <f t="shared" si="1"/>
        <v>0</v>
      </c>
      <c r="M33" s="35"/>
      <c r="N33" s="35"/>
      <c r="O33" s="35"/>
      <c r="P33" s="35"/>
      <c r="Q33" s="37">
        <f t="shared" si="2"/>
        <v>0</v>
      </c>
      <c r="R33" s="35"/>
      <c r="S33" s="35"/>
      <c r="T33" s="35"/>
      <c r="U33" s="35"/>
      <c r="V33" s="37">
        <f t="shared" si="3"/>
        <v>0</v>
      </c>
      <c r="W33" s="35"/>
      <c r="X33" s="35"/>
      <c r="Y33" s="35"/>
      <c r="Z33" s="35"/>
      <c r="AA33" s="37">
        <f t="shared" si="4"/>
        <v>0</v>
      </c>
      <c r="AB33" s="35"/>
      <c r="AC33" s="35"/>
      <c r="AD33" s="35"/>
      <c r="AE33" s="35"/>
      <c r="AF33" s="37">
        <f t="shared" si="5"/>
        <v>0</v>
      </c>
      <c r="AG33" s="35"/>
      <c r="AH33" s="35"/>
      <c r="AI33" s="35"/>
      <c r="AJ33" s="35"/>
      <c r="AK33" s="37">
        <f t="shared" si="6"/>
        <v>0</v>
      </c>
      <c r="AL33" s="35"/>
      <c r="AM33" s="35"/>
      <c r="AN33" s="35"/>
      <c r="AO33" s="35"/>
      <c r="AP33" s="37">
        <f t="shared" si="7"/>
        <v>0</v>
      </c>
      <c r="AQ33" s="35"/>
      <c r="AR33" s="35"/>
      <c r="AS33" s="35"/>
      <c r="AT33" s="35"/>
      <c r="AU33" s="37">
        <f t="shared" si="8"/>
        <v>0</v>
      </c>
      <c r="AV33" s="35"/>
      <c r="AW33" s="35"/>
      <c r="AX33" s="35"/>
      <c r="AY33" s="35"/>
      <c r="AZ33" s="37">
        <f t="shared" si="9"/>
        <v>0</v>
      </c>
      <c r="BA33" s="35"/>
      <c r="BB33" s="35"/>
      <c r="BC33" s="35"/>
      <c r="BD33" s="35"/>
      <c r="BE33" s="37">
        <f t="shared" si="10"/>
        <v>0</v>
      </c>
      <c r="BF33" s="35"/>
      <c r="BG33" s="35"/>
      <c r="BH33" s="35"/>
      <c r="BI33" s="35"/>
      <c r="BJ33" s="37">
        <f t="shared" si="11"/>
        <v>0</v>
      </c>
      <c r="BK33" s="37">
        <f t="shared" si="12"/>
        <v>0</v>
      </c>
    </row>
    <row r="34" spans="1:65" x14ac:dyDescent="0.35">
      <c r="A34" s="34" t="s">
        <v>4</v>
      </c>
      <c r="B34" s="34" t="s">
        <v>116</v>
      </c>
      <c r="C34" s="35"/>
      <c r="D34" s="35"/>
      <c r="E34" s="35"/>
      <c r="F34" s="35"/>
      <c r="G34" s="37">
        <f t="shared" si="0"/>
        <v>0</v>
      </c>
      <c r="H34" s="35"/>
      <c r="I34" s="35"/>
      <c r="J34" s="35"/>
      <c r="K34" s="35"/>
      <c r="L34" s="37">
        <f t="shared" si="1"/>
        <v>0</v>
      </c>
      <c r="M34" s="35"/>
      <c r="N34" s="35"/>
      <c r="O34" s="35"/>
      <c r="P34" s="35"/>
      <c r="Q34" s="37">
        <f t="shared" si="2"/>
        <v>0</v>
      </c>
      <c r="R34" s="35"/>
      <c r="S34" s="35"/>
      <c r="T34" s="35"/>
      <c r="U34" s="35"/>
      <c r="V34" s="37">
        <f t="shared" si="3"/>
        <v>0</v>
      </c>
      <c r="W34" s="35"/>
      <c r="X34" s="35"/>
      <c r="Y34" s="35"/>
      <c r="Z34" s="35"/>
      <c r="AA34" s="37">
        <f t="shared" si="4"/>
        <v>0</v>
      </c>
      <c r="AB34" s="35"/>
      <c r="AC34" s="35"/>
      <c r="AD34" s="35"/>
      <c r="AE34" s="35"/>
      <c r="AF34" s="37">
        <f t="shared" si="5"/>
        <v>0</v>
      </c>
      <c r="AG34" s="35"/>
      <c r="AH34" s="35"/>
      <c r="AI34" s="35"/>
      <c r="AJ34" s="35"/>
      <c r="AK34" s="37">
        <f t="shared" si="6"/>
        <v>0</v>
      </c>
      <c r="AL34" s="35"/>
      <c r="AM34" s="35"/>
      <c r="AN34" s="35"/>
      <c r="AO34" s="35"/>
      <c r="AP34" s="37">
        <f t="shared" si="7"/>
        <v>0</v>
      </c>
      <c r="AQ34" s="35"/>
      <c r="AR34" s="35"/>
      <c r="AS34" s="35"/>
      <c r="AT34" s="35"/>
      <c r="AU34" s="37">
        <f t="shared" si="8"/>
        <v>0</v>
      </c>
      <c r="AV34" s="35"/>
      <c r="AW34" s="35"/>
      <c r="AX34" s="35"/>
      <c r="AY34" s="35"/>
      <c r="AZ34" s="37">
        <f t="shared" si="9"/>
        <v>0</v>
      </c>
      <c r="BA34" s="35"/>
      <c r="BB34" s="35"/>
      <c r="BC34" s="35"/>
      <c r="BD34" s="35"/>
      <c r="BE34" s="37">
        <f t="shared" si="10"/>
        <v>0</v>
      </c>
      <c r="BF34" s="35"/>
      <c r="BG34" s="35"/>
      <c r="BH34" s="35"/>
      <c r="BI34" s="35"/>
      <c r="BJ34" s="37">
        <f t="shared" si="11"/>
        <v>0</v>
      </c>
      <c r="BK34" s="37">
        <f t="shared" si="12"/>
        <v>0</v>
      </c>
    </row>
    <row r="35" spans="1:65" x14ac:dyDescent="0.35">
      <c r="A35" s="34" t="s">
        <v>4</v>
      </c>
      <c r="B35" s="34" t="s">
        <v>117</v>
      </c>
      <c r="C35" s="35"/>
      <c r="D35" s="35"/>
      <c r="E35" s="35"/>
      <c r="F35" s="35"/>
      <c r="G35" s="37">
        <f t="shared" si="0"/>
        <v>0</v>
      </c>
      <c r="H35" s="35"/>
      <c r="I35" s="35"/>
      <c r="J35" s="35"/>
      <c r="K35" s="35"/>
      <c r="L35" s="37">
        <f t="shared" si="1"/>
        <v>0</v>
      </c>
      <c r="M35" s="35"/>
      <c r="N35" s="35"/>
      <c r="O35" s="35"/>
      <c r="P35" s="35"/>
      <c r="Q35" s="37">
        <f t="shared" si="2"/>
        <v>0</v>
      </c>
      <c r="R35" s="35"/>
      <c r="S35" s="35"/>
      <c r="T35" s="35"/>
      <c r="U35" s="35"/>
      <c r="V35" s="37">
        <f t="shared" si="3"/>
        <v>0</v>
      </c>
      <c r="W35" s="35"/>
      <c r="X35" s="35"/>
      <c r="Y35" s="35"/>
      <c r="Z35" s="35"/>
      <c r="AA35" s="37">
        <f t="shared" si="4"/>
        <v>0</v>
      </c>
      <c r="AB35" s="35"/>
      <c r="AC35" s="35"/>
      <c r="AD35" s="35"/>
      <c r="AE35" s="35"/>
      <c r="AF35" s="37">
        <f t="shared" si="5"/>
        <v>0</v>
      </c>
      <c r="AG35" s="35"/>
      <c r="AH35" s="35"/>
      <c r="AI35" s="35"/>
      <c r="AJ35" s="35"/>
      <c r="AK35" s="37">
        <f t="shared" si="6"/>
        <v>0</v>
      </c>
      <c r="AL35" s="35"/>
      <c r="AM35" s="35"/>
      <c r="AN35" s="35"/>
      <c r="AO35" s="35"/>
      <c r="AP35" s="37">
        <f t="shared" si="7"/>
        <v>0</v>
      </c>
      <c r="AQ35" s="35"/>
      <c r="AR35" s="35"/>
      <c r="AS35" s="35"/>
      <c r="AT35" s="35"/>
      <c r="AU35" s="37">
        <f t="shared" si="8"/>
        <v>0</v>
      </c>
      <c r="AV35" s="35"/>
      <c r="AW35" s="35"/>
      <c r="AX35" s="35"/>
      <c r="AY35" s="35"/>
      <c r="AZ35" s="37">
        <f t="shared" si="9"/>
        <v>0</v>
      </c>
      <c r="BA35" s="35"/>
      <c r="BB35" s="35"/>
      <c r="BC35" s="35"/>
      <c r="BD35" s="35"/>
      <c r="BE35" s="37">
        <f t="shared" si="10"/>
        <v>0</v>
      </c>
      <c r="BF35" s="35"/>
      <c r="BG35" s="35"/>
      <c r="BH35" s="35"/>
      <c r="BI35" s="35"/>
      <c r="BJ35" s="37">
        <f t="shared" si="11"/>
        <v>0</v>
      </c>
      <c r="BK35" s="37">
        <f t="shared" si="12"/>
        <v>0</v>
      </c>
    </row>
    <row r="36" spans="1:65" x14ac:dyDescent="0.35">
      <c r="A36" s="34" t="s">
        <v>4</v>
      </c>
      <c r="B36" s="34" t="s">
        <v>118</v>
      </c>
      <c r="C36" s="35"/>
      <c r="D36" s="35"/>
      <c r="E36" s="35"/>
      <c r="F36" s="35"/>
      <c r="G36" s="37">
        <f t="shared" si="0"/>
        <v>0</v>
      </c>
      <c r="H36" s="35"/>
      <c r="I36" s="35"/>
      <c r="J36" s="35"/>
      <c r="K36" s="35"/>
      <c r="L36" s="37">
        <f t="shared" si="1"/>
        <v>0</v>
      </c>
      <c r="M36" s="35"/>
      <c r="N36" s="35"/>
      <c r="O36" s="35"/>
      <c r="P36" s="35"/>
      <c r="Q36" s="37">
        <f t="shared" si="2"/>
        <v>0</v>
      </c>
      <c r="R36" s="35"/>
      <c r="S36" s="35"/>
      <c r="T36" s="35"/>
      <c r="U36" s="35"/>
      <c r="V36" s="37">
        <f t="shared" si="3"/>
        <v>0</v>
      </c>
      <c r="W36" s="35"/>
      <c r="X36" s="35"/>
      <c r="Y36" s="35"/>
      <c r="Z36" s="35"/>
      <c r="AA36" s="37">
        <f t="shared" si="4"/>
        <v>0</v>
      </c>
      <c r="AB36" s="35"/>
      <c r="AC36" s="35"/>
      <c r="AD36" s="35"/>
      <c r="AE36" s="35"/>
      <c r="AF36" s="37">
        <f t="shared" si="5"/>
        <v>0</v>
      </c>
      <c r="AG36" s="35"/>
      <c r="AH36" s="35"/>
      <c r="AI36" s="35"/>
      <c r="AJ36" s="35"/>
      <c r="AK36" s="37">
        <f t="shared" si="6"/>
        <v>0</v>
      </c>
      <c r="AL36" s="35"/>
      <c r="AM36" s="35"/>
      <c r="AN36" s="35"/>
      <c r="AO36" s="35"/>
      <c r="AP36" s="37">
        <f t="shared" si="7"/>
        <v>0</v>
      </c>
      <c r="AQ36" s="35"/>
      <c r="AR36" s="35"/>
      <c r="AS36" s="35"/>
      <c r="AT36" s="35"/>
      <c r="AU36" s="37">
        <f t="shared" si="8"/>
        <v>0</v>
      </c>
      <c r="AV36" s="35"/>
      <c r="AW36" s="35"/>
      <c r="AX36" s="35"/>
      <c r="AY36" s="35"/>
      <c r="AZ36" s="37">
        <f t="shared" si="9"/>
        <v>0</v>
      </c>
      <c r="BA36" s="35"/>
      <c r="BB36" s="35"/>
      <c r="BC36" s="35"/>
      <c r="BD36" s="35"/>
      <c r="BE36" s="37">
        <f t="shared" si="10"/>
        <v>0</v>
      </c>
      <c r="BF36" s="35"/>
      <c r="BG36" s="35"/>
      <c r="BH36" s="35"/>
      <c r="BI36" s="35"/>
      <c r="BJ36" s="37">
        <f t="shared" si="11"/>
        <v>0</v>
      </c>
      <c r="BK36" s="37">
        <f t="shared" si="12"/>
        <v>0</v>
      </c>
    </row>
    <row r="37" spans="1:65" x14ac:dyDescent="0.35">
      <c r="A37" s="34" t="s">
        <v>4</v>
      </c>
      <c r="B37" s="34" t="s">
        <v>119</v>
      </c>
      <c r="C37" s="35"/>
      <c r="D37" s="35"/>
      <c r="E37" s="35"/>
      <c r="F37" s="35"/>
      <c r="G37" s="37">
        <f t="shared" si="0"/>
        <v>0</v>
      </c>
      <c r="H37" s="35"/>
      <c r="I37" s="35"/>
      <c r="J37" s="35"/>
      <c r="K37" s="35"/>
      <c r="L37" s="37">
        <f t="shared" si="1"/>
        <v>0</v>
      </c>
      <c r="M37" s="35"/>
      <c r="N37" s="35"/>
      <c r="O37" s="35"/>
      <c r="P37" s="35"/>
      <c r="Q37" s="37">
        <f t="shared" si="2"/>
        <v>0</v>
      </c>
      <c r="R37" s="35"/>
      <c r="S37" s="35"/>
      <c r="T37" s="35"/>
      <c r="U37" s="35"/>
      <c r="V37" s="37">
        <f t="shared" si="3"/>
        <v>0</v>
      </c>
      <c r="W37" s="35"/>
      <c r="X37" s="35"/>
      <c r="Y37" s="35"/>
      <c r="Z37" s="35"/>
      <c r="AA37" s="37">
        <f t="shared" si="4"/>
        <v>0</v>
      </c>
      <c r="AB37" s="35"/>
      <c r="AC37" s="35"/>
      <c r="AD37" s="35"/>
      <c r="AE37" s="35"/>
      <c r="AF37" s="37">
        <f t="shared" si="5"/>
        <v>0</v>
      </c>
      <c r="AG37" s="35"/>
      <c r="AH37" s="35"/>
      <c r="AI37" s="35"/>
      <c r="AJ37" s="35"/>
      <c r="AK37" s="37">
        <f t="shared" si="6"/>
        <v>0</v>
      </c>
      <c r="AL37" s="35"/>
      <c r="AM37" s="35"/>
      <c r="AN37" s="35"/>
      <c r="AO37" s="35"/>
      <c r="AP37" s="37">
        <f t="shared" si="7"/>
        <v>0</v>
      </c>
      <c r="AQ37" s="35"/>
      <c r="AR37" s="35"/>
      <c r="AS37" s="35"/>
      <c r="AT37" s="35"/>
      <c r="AU37" s="37">
        <f t="shared" si="8"/>
        <v>0</v>
      </c>
      <c r="AV37" s="35"/>
      <c r="AW37" s="35"/>
      <c r="AX37" s="35"/>
      <c r="AY37" s="35"/>
      <c r="AZ37" s="37">
        <f t="shared" si="9"/>
        <v>0</v>
      </c>
      <c r="BA37" s="35"/>
      <c r="BB37" s="35"/>
      <c r="BC37" s="35"/>
      <c r="BD37" s="35"/>
      <c r="BE37" s="37">
        <f t="shared" si="10"/>
        <v>0</v>
      </c>
      <c r="BF37" s="35"/>
      <c r="BG37" s="35"/>
      <c r="BH37" s="35"/>
      <c r="BI37" s="35"/>
      <c r="BJ37" s="37">
        <f t="shared" si="11"/>
        <v>0</v>
      </c>
      <c r="BK37" s="37">
        <f t="shared" si="12"/>
        <v>0</v>
      </c>
    </row>
    <row r="38" spans="1:65" x14ac:dyDescent="0.35">
      <c r="A38" s="34" t="s">
        <v>4</v>
      </c>
      <c r="B38" s="34" t="s">
        <v>104</v>
      </c>
      <c r="C38" s="35"/>
      <c r="D38" s="35">
        <f>626391+28000</f>
        <v>654391</v>
      </c>
      <c r="E38" s="35"/>
      <c r="F38" s="35"/>
      <c r="G38" s="37">
        <f t="shared" si="0"/>
        <v>654391</v>
      </c>
      <c r="H38" s="35"/>
      <c r="I38" s="35">
        <f>626391+28000</f>
        <v>654391</v>
      </c>
      <c r="J38" s="35"/>
      <c r="K38" s="35"/>
      <c r="L38" s="37">
        <f t="shared" si="1"/>
        <v>654391</v>
      </c>
      <c r="M38" s="35"/>
      <c r="N38" s="35">
        <f>626391+28000</f>
        <v>654391</v>
      </c>
      <c r="O38" s="35"/>
      <c r="P38" s="35"/>
      <c r="Q38" s="37">
        <f t="shared" si="2"/>
        <v>654391</v>
      </c>
      <c r="R38" s="35"/>
      <c r="S38" s="35">
        <f>28000+626391</f>
        <v>654391</v>
      </c>
      <c r="T38" s="35"/>
      <c r="U38" s="35"/>
      <c r="V38" s="37">
        <f t="shared" si="3"/>
        <v>654391</v>
      </c>
      <c r="W38" s="35"/>
      <c r="X38" s="35">
        <f>28000+626391</f>
        <v>654391</v>
      </c>
      <c r="Y38" s="35"/>
      <c r="Z38" s="35"/>
      <c r="AA38" s="37">
        <f t="shared" si="4"/>
        <v>654391</v>
      </c>
      <c r="AB38" s="35"/>
      <c r="AC38" s="35">
        <f>28000+89600+47148.39+626391+33600+33600</f>
        <v>858339.39</v>
      </c>
      <c r="AD38" s="35"/>
      <c r="AE38" s="35"/>
      <c r="AF38" s="37">
        <f t="shared" si="5"/>
        <v>858339.39</v>
      </c>
      <c r="AG38" s="35"/>
      <c r="AH38" s="35">
        <f>656862+39200+5600</f>
        <v>701662</v>
      </c>
      <c r="AI38" s="35"/>
      <c r="AJ38" s="35"/>
      <c r="AK38" s="37">
        <f t="shared" si="6"/>
        <v>701662</v>
      </c>
      <c r="AL38" s="35"/>
      <c r="AM38" s="35">
        <f>656862+39200+5600</f>
        <v>701662</v>
      </c>
      <c r="AN38" s="35"/>
      <c r="AO38" s="35"/>
      <c r="AP38" s="37">
        <f t="shared" si="7"/>
        <v>701662</v>
      </c>
      <c r="AQ38" s="35"/>
      <c r="AR38" s="35">
        <f>656862+39200+5600</f>
        <v>701662</v>
      </c>
      <c r="AS38" s="35"/>
      <c r="AT38" s="35"/>
      <c r="AU38" s="37">
        <f t="shared" si="8"/>
        <v>701662</v>
      </c>
      <c r="AV38" s="35"/>
      <c r="AW38" s="35">
        <f>656862+44800</f>
        <v>701662</v>
      </c>
      <c r="AX38" s="35"/>
      <c r="AY38" s="35"/>
      <c r="AZ38" s="37">
        <f t="shared" si="9"/>
        <v>701662</v>
      </c>
      <c r="BA38" s="35"/>
      <c r="BB38" s="35">
        <f>656862+70812.9+44800</f>
        <v>772474.9</v>
      </c>
      <c r="BC38" s="35"/>
      <c r="BD38" s="35"/>
      <c r="BE38" s="37">
        <f t="shared" si="10"/>
        <v>772474.9</v>
      </c>
      <c r="BF38" s="35"/>
      <c r="BG38" s="35">
        <f>656862+44800</f>
        <v>701662</v>
      </c>
      <c r="BH38" s="35"/>
      <c r="BI38" s="35"/>
      <c r="BJ38" s="37">
        <f t="shared" si="11"/>
        <v>701662</v>
      </c>
      <c r="BK38" s="37">
        <f t="shared" si="12"/>
        <v>8411079.290000001</v>
      </c>
    </row>
    <row r="39" spans="1:65" x14ac:dyDescent="0.35">
      <c r="A39" s="34" t="s">
        <v>4</v>
      </c>
      <c r="B39" s="34" t="s">
        <v>106</v>
      </c>
      <c r="C39" s="35"/>
      <c r="D39" s="35"/>
      <c r="E39" s="35"/>
      <c r="F39" s="35"/>
      <c r="G39" s="37">
        <f t="shared" si="0"/>
        <v>0</v>
      </c>
      <c r="H39" s="35"/>
      <c r="I39" s="35"/>
      <c r="J39" s="35"/>
      <c r="K39" s="35"/>
      <c r="L39" s="37">
        <f t="shared" si="1"/>
        <v>0</v>
      </c>
      <c r="M39" s="35"/>
      <c r="N39" s="35"/>
      <c r="O39" s="35"/>
      <c r="P39" s="35"/>
      <c r="Q39" s="37">
        <f t="shared" si="2"/>
        <v>0</v>
      </c>
      <c r="R39" s="35"/>
      <c r="S39" s="35"/>
      <c r="T39" s="35"/>
      <c r="U39" s="35"/>
      <c r="V39" s="37">
        <f t="shared" si="3"/>
        <v>0</v>
      </c>
      <c r="W39" s="35"/>
      <c r="X39" s="35"/>
      <c r="Y39" s="35"/>
      <c r="Z39" s="35"/>
      <c r="AA39" s="37">
        <f t="shared" si="4"/>
        <v>0</v>
      </c>
      <c r="AB39" s="35"/>
      <c r="AC39" s="35"/>
      <c r="AD39" s="35"/>
      <c r="AE39" s="35"/>
      <c r="AF39" s="37">
        <f t="shared" si="5"/>
        <v>0</v>
      </c>
      <c r="AG39" s="35"/>
      <c r="AH39" s="35"/>
      <c r="AI39" s="35"/>
      <c r="AJ39" s="35"/>
      <c r="AK39" s="37">
        <f t="shared" si="6"/>
        <v>0</v>
      </c>
      <c r="AL39" s="35"/>
      <c r="AM39" s="35"/>
      <c r="AN39" s="35"/>
      <c r="AO39" s="35"/>
      <c r="AP39" s="37">
        <f t="shared" si="7"/>
        <v>0</v>
      </c>
      <c r="AQ39" s="35"/>
      <c r="AR39" s="35"/>
      <c r="AS39" s="35"/>
      <c r="AT39" s="35"/>
      <c r="AU39" s="37">
        <f t="shared" si="8"/>
        <v>0</v>
      </c>
      <c r="AV39" s="35"/>
      <c r="AW39" s="35"/>
      <c r="AX39" s="35"/>
      <c r="AY39" s="35"/>
      <c r="AZ39" s="37">
        <f t="shared" si="9"/>
        <v>0</v>
      </c>
      <c r="BA39" s="35"/>
      <c r="BB39" s="35"/>
      <c r="BC39" s="35"/>
      <c r="BD39" s="35"/>
      <c r="BE39" s="37">
        <f t="shared" si="10"/>
        <v>0</v>
      </c>
      <c r="BF39" s="35"/>
      <c r="BG39" s="35"/>
      <c r="BH39" s="35"/>
      <c r="BI39" s="35"/>
      <c r="BJ39" s="37">
        <f t="shared" si="11"/>
        <v>0</v>
      </c>
      <c r="BK39" s="37">
        <f t="shared" si="12"/>
        <v>0</v>
      </c>
    </row>
    <row r="40" spans="1:65" x14ac:dyDescent="0.35">
      <c r="A40" s="34" t="s">
        <v>4</v>
      </c>
      <c r="B40" s="34" t="s">
        <v>27</v>
      </c>
      <c r="C40" s="35"/>
      <c r="D40" s="35"/>
      <c r="E40" s="35"/>
      <c r="F40" s="35"/>
      <c r="G40" s="37">
        <f t="shared" si="0"/>
        <v>0</v>
      </c>
      <c r="H40" s="35"/>
      <c r="I40" s="35"/>
      <c r="J40" s="35"/>
      <c r="K40" s="35"/>
      <c r="L40" s="37">
        <f t="shared" si="1"/>
        <v>0</v>
      </c>
      <c r="M40" s="35"/>
      <c r="N40" s="35"/>
      <c r="O40" s="35"/>
      <c r="P40" s="35"/>
      <c r="Q40" s="37">
        <f t="shared" si="2"/>
        <v>0</v>
      </c>
      <c r="R40" s="35"/>
      <c r="S40" s="35"/>
      <c r="T40" s="35"/>
      <c r="U40" s="35"/>
      <c r="V40" s="37">
        <f t="shared" si="3"/>
        <v>0</v>
      </c>
      <c r="W40" s="35"/>
      <c r="X40" s="35"/>
      <c r="Y40" s="35"/>
      <c r="Z40" s="35"/>
      <c r="AA40" s="37">
        <f t="shared" si="4"/>
        <v>0</v>
      </c>
      <c r="AB40" s="35"/>
      <c r="AC40" s="35"/>
      <c r="AD40" s="35"/>
      <c r="AE40" s="35"/>
      <c r="AF40" s="37">
        <f t="shared" si="5"/>
        <v>0</v>
      </c>
      <c r="AG40" s="35"/>
      <c r="AH40" s="35"/>
      <c r="AI40" s="35"/>
      <c r="AJ40" s="35"/>
      <c r="AK40" s="37">
        <f t="shared" si="6"/>
        <v>0</v>
      </c>
      <c r="AL40" s="35"/>
      <c r="AM40" s="35"/>
      <c r="AN40" s="35"/>
      <c r="AO40" s="35"/>
      <c r="AP40" s="37">
        <f t="shared" si="7"/>
        <v>0</v>
      </c>
      <c r="AQ40" s="35"/>
      <c r="AR40" s="35"/>
      <c r="AS40" s="35"/>
      <c r="AT40" s="35"/>
      <c r="AU40" s="37">
        <f t="shared" si="8"/>
        <v>0</v>
      </c>
      <c r="AV40" s="35"/>
      <c r="AW40" s="35"/>
      <c r="AX40" s="35"/>
      <c r="AY40" s="35"/>
      <c r="AZ40" s="37">
        <f t="shared" si="9"/>
        <v>0</v>
      </c>
      <c r="BA40" s="35"/>
      <c r="BB40" s="35"/>
      <c r="BC40" s="35"/>
      <c r="BD40" s="35"/>
      <c r="BE40" s="37">
        <f t="shared" si="10"/>
        <v>0</v>
      </c>
      <c r="BF40" s="35"/>
      <c r="BG40" s="35"/>
      <c r="BH40" s="35"/>
      <c r="BI40" s="35"/>
      <c r="BJ40" s="37">
        <f t="shared" si="11"/>
        <v>0</v>
      </c>
      <c r="BK40" s="37">
        <f t="shared" si="12"/>
        <v>0</v>
      </c>
    </row>
    <row r="41" spans="1:65" x14ac:dyDescent="0.35">
      <c r="A41" s="34"/>
      <c r="B41" s="34"/>
      <c r="C41" s="35"/>
      <c r="D41" s="35"/>
      <c r="E41" s="35"/>
      <c r="F41" s="35"/>
      <c r="G41" s="37">
        <f t="shared" si="0"/>
        <v>0</v>
      </c>
      <c r="H41" s="35"/>
      <c r="I41" s="35"/>
      <c r="J41" s="35"/>
      <c r="K41" s="35"/>
      <c r="L41" s="37">
        <f t="shared" si="1"/>
        <v>0</v>
      </c>
      <c r="M41" s="35"/>
      <c r="N41" s="35"/>
      <c r="O41" s="35"/>
      <c r="P41" s="35"/>
      <c r="Q41" s="37">
        <f t="shared" si="2"/>
        <v>0</v>
      </c>
      <c r="R41" s="35"/>
      <c r="S41" s="35"/>
      <c r="T41" s="35"/>
      <c r="U41" s="35"/>
      <c r="V41" s="37">
        <f t="shared" si="3"/>
        <v>0</v>
      </c>
      <c r="W41" s="35"/>
      <c r="X41" s="35"/>
      <c r="Y41" s="35"/>
      <c r="Z41" s="35"/>
      <c r="AA41" s="37">
        <f t="shared" si="4"/>
        <v>0</v>
      </c>
      <c r="AB41" s="35"/>
      <c r="AC41" s="35"/>
      <c r="AD41" s="35"/>
      <c r="AE41" s="35"/>
      <c r="AF41" s="37">
        <f t="shared" si="5"/>
        <v>0</v>
      </c>
      <c r="AG41" s="35"/>
      <c r="AH41" s="35"/>
      <c r="AI41" s="35"/>
      <c r="AJ41" s="35"/>
      <c r="AK41" s="37">
        <f t="shared" si="6"/>
        <v>0</v>
      </c>
      <c r="AL41" s="35"/>
      <c r="AM41" s="35"/>
      <c r="AN41" s="35"/>
      <c r="AO41" s="35"/>
      <c r="AP41" s="37">
        <f t="shared" si="7"/>
        <v>0</v>
      </c>
      <c r="AQ41" s="35"/>
      <c r="AR41" s="35"/>
      <c r="AS41" s="35"/>
      <c r="AT41" s="35"/>
      <c r="AU41" s="37">
        <f t="shared" si="8"/>
        <v>0</v>
      </c>
      <c r="AV41" s="35"/>
      <c r="AW41" s="35"/>
      <c r="AX41" s="35"/>
      <c r="AY41" s="35"/>
      <c r="AZ41" s="37">
        <f t="shared" si="9"/>
        <v>0</v>
      </c>
      <c r="BA41" s="35"/>
      <c r="BB41" s="35"/>
      <c r="BC41" s="35"/>
      <c r="BD41" s="35"/>
      <c r="BE41" s="37">
        <f t="shared" si="10"/>
        <v>0</v>
      </c>
      <c r="BF41" s="35"/>
      <c r="BG41" s="35"/>
      <c r="BH41" s="35"/>
      <c r="BI41" s="35"/>
      <c r="BJ41" s="37">
        <f t="shared" si="11"/>
        <v>0</v>
      </c>
      <c r="BK41" s="37">
        <f>+G41+L41+Q41+V41+AA41+AF41+AK41+AP41+AU41+AZ41+BE41+BJ41</f>
        <v>0</v>
      </c>
    </row>
    <row r="42" spans="1:65" x14ac:dyDescent="0.35">
      <c r="A42" s="34"/>
      <c r="B42" s="34"/>
      <c r="C42" s="35"/>
      <c r="D42" s="35"/>
      <c r="E42" s="35"/>
      <c r="F42" s="35"/>
      <c r="G42" s="37">
        <f t="shared" si="0"/>
        <v>0</v>
      </c>
      <c r="H42" s="35"/>
      <c r="I42" s="35"/>
      <c r="J42" s="35"/>
      <c r="K42" s="35"/>
      <c r="L42" s="37">
        <f t="shared" si="1"/>
        <v>0</v>
      </c>
      <c r="M42" s="35"/>
      <c r="N42" s="35"/>
      <c r="O42" s="35"/>
      <c r="P42" s="35"/>
      <c r="Q42" s="37">
        <f t="shared" si="2"/>
        <v>0</v>
      </c>
      <c r="R42" s="35"/>
      <c r="S42" s="35"/>
      <c r="T42" s="35"/>
      <c r="U42" s="35"/>
      <c r="V42" s="37">
        <f t="shared" si="3"/>
        <v>0</v>
      </c>
      <c r="W42" s="35"/>
      <c r="X42" s="35"/>
      <c r="Y42" s="35"/>
      <c r="Z42" s="35"/>
      <c r="AA42" s="37">
        <f t="shared" si="4"/>
        <v>0</v>
      </c>
      <c r="AB42" s="35"/>
      <c r="AC42" s="35"/>
      <c r="AD42" s="35"/>
      <c r="AE42" s="35"/>
      <c r="AF42" s="37">
        <f t="shared" si="5"/>
        <v>0</v>
      </c>
      <c r="AG42" s="35"/>
      <c r="AH42" s="35"/>
      <c r="AI42" s="35"/>
      <c r="AJ42" s="35"/>
      <c r="AK42" s="37">
        <f t="shared" si="6"/>
        <v>0</v>
      </c>
      <c r="AL42" s="35"/>
      <c r="AM42" s="35"/>
      <c r="AN42" s="35"/>
      <c r="AO42" s="35"/>
      <c r="AP42" s="37">
        <f t="shared" si="7"/>
        <v>0</v>
      </c>
      <c r="AQ42" s="35"/>
      <c r="AR42" s="35"/>
      <c r="AS42" s="35"/>
      <c r="AT42" s="35"/>
      <c r="AU42" s="37">
        <f t="shared" si="8"/>
        <v>0</v>
      </c>
      <c r="AV42" s="35"/>
      <c r="AW42" s="35"/>
      <c r="AX42" s="35"/>
      <c r="AY42" s="35"/>
      <c r="AZ42" s="37">
        <f t="shared" si="9"/>
        <v>0</v>
      </c>
      <c r="BA42" s="35"/>
      <c r="BB42" s="35"/>
      <c r="BC42" s="35"/>
      <c r="BD42" s="35"/>
      <c r="BE42" s="37">
        <f t="shared" si="10"/>
        <v>0</v>
      </c>
      <c r="BF42" s="35"/>
      <c r="BG42" s="35"/>
      <c r="BH42" s="35"/>
      <c r="BI42" s="35"/>
      <c r="BJ42" s="37">
        <f t="shared" si="11"/>
        <v>0</v>
      </c>
      <c r="BK42" s="37">
        <f t="shared" si="12"/>
        <v>0</v>
      </c>
    </row>
    <row r="43" spans="1:65" ht="21.75" thickBot="1" x14ac:dyDescent="0.4">
      <c r="A43" s="38"/>
      <c r="B43" s="38" t="s">
        <v>115</v>
      </c>
      <c r="C43" s="39">
        <f t="shared" ref="C43:AB43" si="19">SUM(C3:C42)</f>
        <v>2145603.34</v>
      </c>
      <c r="D43" s="39">
        <f t="shared" si="19"/>
        <v>19063583.630000003</v>
      </c>
      <c r="E43" s="39">
        <f t="shared" si="19"/>
        <v>0</v>
      </c>
      <c r="F43" s="39">
        <f>SUM(F3:F42)</f>
        <v>0</v>
      </c>
      <c r="G43" s="39">
        <f>SUM(G3:G42)</f>
        <v>21209186.969999999</v>
      </c>
      <c r="H43" s="39">
        <f t="shared" si="19"/>
        <v>971309</v>
      </c>
      <c r="I43" s="39">
        <f t="shared" si="19"/>
        <v>1820648</v>
      </c>
      <c r="J43" s="39">
        <f t="shared" si="19"/>
        <v>0</v>
      </c>
      <c r="K43" s="39">
        <f t="shared" si="19"/>
        <v>0</v>
      </c>
      <c r="L43" s="39">
        <f>SUM(L3:L42)</f>
        <v>2791957</v>
      </c>
      <c r="M43" s="39">
        <f t="shared" si="19"/>
        <v>1009575.67</v>
      </c>
      <c r="N43" s="39">
        <f t="shared" si="19"/>
        <v>1823388.03</v>
      </c>
      <c r="O43" s="39">
        <f t="shared" si="19"/>
        <v>0</v>
      </c>
      <c r="P43" s="39">
        <f t="shared" si="19"/>
        <v>0</v>
      </c>
      <c r="Q43" s="39">
        <f>SUM(Q3:Q42)</f>
        <v>2832963.6999999997</v>
      </c>
      <c r="R43" s="39">
        <f t="shared" si="19"/>
        <v>1029215.45</v>
      </c>
      <c r="S43" s="39">
        <f t="shared" si="19"/>
        <v>1823248</v>
      </c>
      <c r="T43" s="39">
        <f t="shared" si="19"/>
        <v>0</v>
      </c>
      <c r="U43" s="39">
        <f t="shared" si="19"/>
        <v>0</v>
      </c>
      <c r="V43" s="39">
        <f>SUM(V3:V42)</f>
        <v>2852463.45</v>
      </c>
      <c r="W43" s="39">
        <f t="shared" si="19"/>
        <v>1003909</v>
      </c>
      <c r="X43" s="39">
        <f t="shared" si="19"/>
        <v>1823248</v>
      </c>
      <c r="Y43" s="39">
        <f t="shared" si="19"/>
        <v>0</v>
      </c>
      <c r="Z43" s="39">
        <f t="shared" si="19"/>
        <v>0</v>
      </c>
      <c r="AA43" s="39">
        <f>SUM(AA3:AA42)</f>
        <v>2827157</v>
      </c>
      <c r="AB43" s="39">
        <f t="shared" si="19"/>
        <v>1004001.01</v>
      </c>
      <c r="AC43" s="39">
        <f t="shared" ref="AC43:BI43" si="20">SUM(AC3:AC42)</f>
        <v>2082055.15</v>
      </c>
      <c r="AD43" s="39">
        <f t="shared" si="20"/>
        <v>0</v>
      </c>
      <c r="AE43" s="39">
        <f t="shared" si="20"/>
        <v>0</v>
      </c>
      <c r="AF43" s="39">
        <f>SUM(AF3:AF42)</f>
        <v>3086056.16</v>
      </c>
      <c r="AG43" s="39">
        <f t="shared" si="20"/>
        <v>1285481</v>
      </c>
      <c r="AH43" s="39">
        <f t="shared" si="20"/>
        <v>2202937.42</v>
      </c>
      <c r="AI43" s="39">
        <f t="shared" si="20"/>
        <v>0</v>
      </c>
      <c r="AJ43" s="39">
        <f t="shared" si="20"/>
        <v>0</v>
      </c>
      <c r="AK43" s="39">
        <f>SUM(AK3:AK42)</f>
        <v>3488418.42</v>
      </c>
      <c r="AL43" s="39">
        <f t="shared" si="20"/>
        <v>1046239</v>
      </c>
      <c r="AM43" s="39">
        <f t="shared" si="20"/>
        <v>2120547</v>
      </c>
      <c r="AN43" s="39">
        <f t="shared" si="20"/>
        <v>0</v>
      </c>
      <c r="AO43" s="39">
        <f t="shared" si="20"/>
        <v>0</v>
      </c>
      <c r="AP43" s="39">
        <f>SUM(AP3:AP42)</f>
        <v>3166786</v>
      </c>
      <c r="AQ43" s="39">
        <f t="shared" ref="AQ43:AT43" si="21">SUM(AQ3:AQ42)</f>
        <v>1046239</v>
      </c>
      <c r="AR43" s="39">
        <f t="shared" si="21"/>
        <v>1937715</v>
      </c>
      <c r="AS43" s="39">
        <f>SUM(AS3:AS42)</f>
        <v>0</v>
      </c>
      <c r="AT43" s="39">
        <f t="shared" si="21"/>
        <v>0</v>
      </c>
      <c r="AU43" s="39">
        <f>SUM(AU3:AU42)</f>
        <v>2983954</v>
      </c>
      <c r="AV43" s="39">
        <f t="shared" si="20"/>
        <v>1046239</v>
      </c>
      <c r="AW43" s="39">
        <f t="shared" si="20"/>
        <v>1937715</v>
      </c>
      <c r="AX43" s="39">
        <f t="shared" si="20"/>
        <v>0</v>
      </c>
      <c r="AY43" s="39">
        <f t="shared" si="20"/>
        <v>0</v>
      </c>
      <c r="AZ43" s="39">
        <f>SUM(AZ3:AZ42)</f>
        <v>2983954</v>
      </c>
      <c r="BA43" s="39">
        <f t="shared" si="20"/>
        <v>1135553.97</v>
      </c>
      <c r="BB43" s="39">
        <f t="shared" si="20"/>
        <v>2008527.9</v>
      </c>
      <c r="BC43" s="39">
        <f t="shared" si="20"/>
        <v>0</v>
      </c>
      <c r="BD43" s="39">
        <f t="shared" si="20"/>
        <v>0</v>
      </c>
      <c r="BE43" s="39">
        <f>SUM(BE3:BE42)</f>
        <v>3144081.8699999996</v>
      </c>
      <c r="BF43" s="39">
        <f t="shared" si="20"/>
        <v>1019509</v>
      </c>
      <c r="BG43" s="39">
        <f t="shared" si="20"/>
        <v>1937715</v>
      </c>
      <c r="BH43" s="39">
        <f t="shared" si="20"/>
        <v>0</v>
      </c>
      <c r="BI43" s="39">
        <f t="shared" si="20"/>
        <v>0</v>
      </c>
      <c r="BJ43" s="39">
        <f>SUM(BJ3:BJ42)</f>
        <v>2957224</v>
      </c>
      <c r="BK43" s="39">
        <f>SUM(BK3:BK42)</f>
        <v>54324202.57</v>
      </c>
    </row>
    <row r="44" spans="1:65" ht="21.75" thickTop="1" x14ac:dyDescent="0.35">
      <c r="B44" s="1" t="s">
        <v>301</v>
      </c>
      <c r="C44" s="3">
        <v>8288649.8700000001</v>
      </c>
      <c r="D44" s="3">
        <v>3147818</v>
      </c>
      <c r="E44" s="3">
        <v>232784</v>
      </c>
      <c r="F44" s="3">
        <v>42752</v>
      </c>
      <c r="G44" s="52">
        <f t="shared" ref="G44" si="22">SUM(C44:F44)</f>
        <v>11712003.870000001</v>
      </c>
      <c r="H44" s="3">
        <v>8371951</v>
      </c>
      <c r="I44" s="3">
        <v>3108722</v>
      </c>
      <c r="J44" s="3">
        <v>232784</v>
      </c>
      <c r="K44" s="3">
        <v>42752</v>
      </c>
      <c r="L44" s="52">
        <f t="shared" ref="L44" si="23">SUM(H44:K44)</f>
        <v>11756209</v>
      </c>
      <c r="M44" s="3">
        <v>8336217</v>
      </c>
      <c r="N44" s="3">
        <v>3082616.97</v>
      </c>
      <c r="O44" s="3">
        <v>232784</v>
      </c>
      <c r="P44" s="3">
        <v>42752</v>
      </c>
      <c r="Q44" s="52">
        <f t="shared" ref="Q44" si="24">SUM(M44:P44)</f>
        <v>11694369.970000001</v>
      </c>
      <c r="R44" s="3">
        <v>8381065.1900000004</v>
      </c>
      <c r="S44" s="3">
        <v>3070984</v>
      </c>
      <c r="T44" s="3">
        <v>232784</v>
      </c>
      <c r="U44" s="3">
        <v>42752</v>
      </c>
      <c r="V44" s="52">
        <f t="shared" ref="V44" si="25">SUM(R44:U44)</f>
        <v>11727585.190000001</v>
      </c>
      <c r="W44" s="3">
        <v>8584571</v>
      </c>
      <c r="X44" s="3">
        <v>3110978</v>
      </c>
      <c r="Y44" s="3">
        <v>232784</v>
      </c>
      <c r="Z44" s="3">
        <v>42752</v>
      </c>
      <c r="AA44" s="52">
        <f t="shared" ref="AA44" si="26">SUM(W44:Z44)</f>
        <v>11971085</v>
      </c>
      <c r="AB44" s="3">
        <v>8630637.5800000001</v>
      </c>
      <c r="AC44" s="3">
        <v>3126789.65</v>
      </c>
      <c r="AD44" s="3">
        <v>232784</v>
      </c>
      <c r="AE44" s="3">
        <v>42752</v>
      </c>
      <c r="AF44" s="52">
        <f t="shared" ref="AF44" si="27">SUM(AB44:AE44)</f>
        <v>12032963.23</v>
      </c>
      <c r="AG44" s="3">
        <v>9046214</v>
      </c>
      <c r="AH44" s="3">
        <v>3239480</v>
      </c>
      <c r="AI44" s="3">
        <v>219570</v>
      </c>
      <c r="AJ44" s="3">
        <v>44801</v>
      </c>
      <c r="AK44" s="52">
        <f t="shared" ref="AK44" si="28">SUM(AG44:AJ44)</f>
        <v>12550065</v>
      </c>
      <c r="AL44" s="3">
        <v>9835624</v>
      </c>
      <c r="AM44" s="3">
        <v>3541532</v>
      </c>
      <c r="AN44" s="3">
        <v>229982</v>
      </c>
      <c r="AO44" s="3">
        <v>46758</v>
      </c>
      <c r="AP44" s="52">
        <f t="shared" ref="AP44" si="29">SUM(AL44:AO44)</f>
        <v>13653896</v>
      </c>
      <c r="AQ44" s="3">
        <v>9847010</v>
      </c>
      <c r="AR44" s="3">
        <v>3492288</v>
      </c>
      <c r="AS44" s="3">
        <v>229982</v>
      </c>
      <c r="AT44" s="3">
        <v>46758</v>
      </c>
      <c r="AU44" s="52">
        <f t="shared" ref="AU44" si="30">SUM(AQ44:AT44)</f>
        <v>13616038</v>
      </c>
      <c r="AV44" s="3">
        <v>9896457.3499999996</v>
      </c>
      <c r="AW44" s="3">
        <v>3666551</v>
      </c>
      <c r="AX44" s="3">
        <v>229982</v>
      </c>
      <c r="AY44" s="3">
        <v>46758</v>
      </c>
      <c r="AZ44" s="52">
        <f t="shared" ref="AZ44:AZ47" si="31">SUM(AV44:AY44)</f>
        <v>13839748.35</v>
      </c>
      <c r="BA44" s="3">
        <v>9930299.0299999993</v>
      </c>
      <c r="BB44" s="3">
        <v>3693551</v>
      </c>
      <c r="BC44" s="3">
        <v>229982</v>
      </c>
      <c r="BD44" s="3">
        <v>46758</v>
      </c>
      <c r="BE44" s="52">
        <f t="shared" ref="BE44:BE47" si="32">SUM(BA44:BD44)</f>
        <v>13900590.029999999</v>
      </c>
      <c r="BF44" s="3">
        <v>9939452</v>
      </c>
      <c r="BG44" s="3">
        <v>3674699.67</v>
      </c>
      <c r="BH44" s="3">
        <v>229982</v>
      </c>
      <c r="BI44" s="3">
        <v>46758</v>
      </c>
      <c r="BJ44" s="52">
        <f t="shared" ref="BJ44:BJ47" si="33">SUM(BF44:BI44)</f>
        <v>13890891.67</v>
      </c>
      <c r="BK44" s="37">
        <f>+G44+L44+Q44+V44+AA44+AF44+AK44+AP44+AU44+AZ44+BE44+BJ44</f>
        <v>152345445.30999997</v>
      </c>
    </row>
    <row r="45" spans="1:65" x14ac:dyDescent="0.35">
      <c r="B45" s="71" t="s">
        <v>297</v>
      </c>
      <c r="C45" s="71"/>
      <c r="D45" s="71"/>
      <c r="E45" s="71"/>
      <c r="F45" s="71"/>
      <c r="G45" s="72">
        <f t="shared" ref="G45:G47" si="34">SUM(C45:F45)</f>
        <v>0</v>
      </c>
      <c r="H45" s="73">
        <v>128612.9</v>
      </c>
      <c r="I45" s="73"/>
      <c r="J45" s="73"/>
      <c r="K45" s="73"/>
      <c r="L45" s="75">
        <f t="shared" ref="L45:L47" si="35">SUM(H45:K45)</f>
        <v>128612.9</v>
      </c>
      <c r="M45" s="71"/>
      <c r="N45" s="71"/>
      <c r="O45" s="71"/>
      <c r="P45" s="71"/>
      <c r="Q45" s="72">
        <f t="shared" ref="Q45:Q47" si="36">SUM(M45:P45)</f>
        <v>0</v>
      </c>
      <c r="R45" s="73">
        <v>25890.080000000002</v>
      </c>
      <c r="S45" s="73"/>
      <c r="T45" s="73"/>
      <c r="U45" s="73"/>
      <c r="V45" s="72">
        <f t="shared" ref="V45:V47" si="37">SUM(R45:U45)</f>
        <v>25890.080000000002</v>
      </c>
      <c r="W45" s="73">
        <v>173706.68</v>
      </c>
      <c r="X45" s="73">
        <v>33994.42</v>
      </c>
      <c r="Y45" s="73"/>
      <c r="Z45" s="73"/>
      <c r="AA45" s="72">
        <f t="shared" ref="AA45:AA47" si="38">SUM(W45:Z45)</f>
        <v>207701.09999999998</v>
      </c>
      <c r="AB45" s="73">
        <f>13745.77+46875</f>
        <v>60620.770000000004</v>
      </c>
      <c r="AC45" s="73">
        <f>47000+6250+13950+14333</f>
        <v>81533</v>
      </c>
      <c r="AD45" s="71"/>
      <c r="AE45" s="71"/>
      <c r="AF45" s="72">
        <f t="shared" ref="AF45:AF47" si="39">SUM(AB45:AE45)</f>
        <v>142153.77000000002</v>
      </c>
      <c r="AG45" s="73">
        <v>2115099.0099999998</v>
      </c>
      <c r="AH45" s="73">
        <f>6540+719668.55</f>
        <v>726208.55</v>
      </c>
      <c r="AI45" s="73">
        <v>67668</v>
      </c>
      <c r="AJ45" s="73">
        <v>12300</v>
      </c>
      <c r="AK45" s="72">
        <f t="shared" ref="AK45:AK47" si="40">SUM(AG45:AJ45)</f>
        <v>2921275.5599999996</v>
      </c>
      <c r="AL45" s="73">
        <f>26125+760727.23+2274817.36</f>
        <v>3061669.59</v>
      </c>
      <c r="AM45" s="73">
        <f>26125+339911.51+843055.87</f>
        <v>1209092.3799999999</v>
      </c>
      <c r="AN45" s="73">
        <v>41652</v>
      </c>
      <c r="AO45" s="73">
        <f>2472+5356</f>
        <v>7828</v>
      </c>
      <c r="AP45" s="72">
        <f t="shared" ref="AP45:AP47" si="41">SUM(AL45:AO45)</f>
        <v>4320241.97</v>
      </c>
      <c r="AQ45" s="71">
        <v>32250</v>
      </c>
      <c r="AR45" s="71"/>
      <c r="AS45" s="71"/>
      <c r="AT45" s="71"/>
      <c r="AU45" s="72">
        <f t="shared" ref="AU45:AU47" si="42">SUM(AQ45:AT45)</f>
        <v>32250</v>
      </c>
      <c r="AV45" s="76">
        <f>27000+11944</f>
        <v>38944</v>
      </c>
      <c r="AW45" s="76">
        <f>13190.22+61744+65944+27000</f>
        <v>167878.22</v>
      </c>
      <c r="AX45" s="71"/>
      <c r="AY45" s="71"/>
      <c r="AZ45" s="72">
        <f t="shared" si="31"/>
        <v>206822.22</v>
      </c>
      <c r="BA45" s="73">
        <f>26153.23+31233.87</f>
        <v>57387.1</v>
      </c>
      <c r="BB45" s="73">
        <v>32513</v>
      </c>
      <c r="BC45" s="71"/>
      <c r="BD45" s="71"/>
      <c r="BE45" s="72">
        <f t="shared" si="32"/>
        <v>89900.1</v>
      </c>
      <c r="BF45" s="71">
        <f>32250+5332.13+11805.68</f>
        <v>49387.81</v>
      </c>
      <c r="BG45" s="71"/>
      <c r="BH45" s="71"/>
      <c r="BI45" s="71"/>
      <c r="BJ45" s="72">
        <f t="shared" si="33"/>
        <v>49387.81</v>
      </c>
      <c r="BK45" s="37">
        <f t="shared" ref="BK45:BK47" si="43">+G45+L45+Q45+V45+AA45+AF45+AK45+AP45+AU45+AZ45+BE45+BJ45</f>
        <v>8124235.5099999979</v>
      </c>
      <c r="BL45" s="28">
        <f>+BK44+BK45</f>
        <v>160469680.81999996</v>
      </c>
    </row>
    <row r="46" spans="1:65" x14ac:dyDescent="0.35">
      <c r="B46" s="1" t="s">
        <v>302</v>
      </c>
      <c r="C46" s="3">
        <v>1899049</v>
      </c>
      <c r="D46" s="3">
        <v>1135688</v>
      </c>
      <c r="E46" s="3"/>
      <c r="F46" s="3"/>
      <c r="G46" s="52">
        <f t="shared" si="34"/>
        <v>3034737</v>
      </c>
      <c r="H46" s="3">
        <v>1899589</v>
      </c>
      <c r="I46" s="3">
        <v>1135688</v>
      </c>
      <c r="J46" s="3"/>
      <c r="K46" s="3"/>
      <c r="L46" s="70">
        <f t="shared" si="35"/>
        <v>3035277</v>
      </c>
      <c r="M46" s="3">
        <v>1899589</v>
      </c>
      <c r="N46" s="3">
        <v>1135688</v>
      </c>
      <c r="O46" s="3"/>
      <c r="P46" s="3"/>
      <c r="Q46" s="52">
        <f t="shared" si="36"/>
        <v>3035277</v>
      </c>
      <c r="R46" s="3">
        <f>32364.57+1969549</f>
        <v>2001913.57</v>
      </c>
      <c r="S46" s="3">
        <f>1656+1162804.71</f>
        <v>1164460.71</v>
      </c>
      <c r="T46" s="3"/>
      <c r="U46" s="3"/>
      <c r="V46" s="52">
        <f t="shared" si="37"/>
        <v>3166374.2800000003</v>
      </c>
      <c r="W46" s="3">
        <v>1970089</v>
      </c>
      <c r="X46" s="3">
        <v>1164566</v>
      </c>
      <c r="Y46" s="3"/>
      <c r="Z46" s="3"/>
      <c r="AA46" s="52">
        <f t="shared" si="38"/>
        <v>3134655</v>
      </c>
      <c r="AB46" s="3">
        <v>1164566</v>
      </c>
      <c r="AC46" s="3">
        <v>1970089</v>
      </c>
      <c r="AD46" s="3"/>
      <c r="AE46" s="3"/>
      <c r="AF46" s="52">
        <f t="shared" si="39"/>
        <v>3134655</v>
      </c>
      <c r="AG46" s="3">
        <v>2055386</v>
      </c>
      <c r="AH46" s="3">
        <v>1188613</v>
      </c>
      <c r="AI46" s="3"/>
      <c r="AJ46" s="3"/>
      <c r="AK46" s="52">
        <f>SUM(AG46:AJ46)</f>
        <v>3243999</v>
      </c>
      <c r="AL46" s="3">
        <v>2055386</v>
      </c>
      <c r="AM46" s="3">
        <v>1188613</v>
      </c>
      <c r="AN46" s="3"/>
      <c r="AO46" s="3"/>
      <c r="AP46" s="52">
        <f t="shared" si="41"/>
        <v>3243999</v>
      </c>
      <c r="AQ46" s="3">
        <v>2055386</v>
      </c>
      <c r="AR46" s="3">
        <v>1188613</v>
      </c>
      <c r="AS46" s="3"/>
      <c r="AT46" s="3"/>
      <c r="AU46" s="52">
        <f t="shared" si="42"/>
        <v>3243999</v>
      </c>
      <c r="AV46" s="3">
        <v>2258733</v>
      </c>
      <c r="AW46" s="3">
        <v>1335895</v>
      </c>
      <c r="AX46" s="3"/>
      <c r="AY46" s="3"/>
      <c r="AZ46" s="52">
        <f t="shared" si="31"/>
        <v>3594628</v>
      </c>
      <c r="BA46" s="3">
        <v>2258733</v>
      </c>
      <c r="BB46" s="3">
        <v>1335895</v>
      </c>
      <c r="BC46" s="3"/>
      <c r="BD46" s="3"/>
      <c r="BE46" s="52">
        <f t="shared" si="32"/>
        <v>3594628</v>
      </c>
      <c r="BF46" s="3">
        <v>2258733</v>
      </c>
      <c r="BG46" s="3">
        <v>1335895</v>
      </c>
      <c r="BH46" s="3"/>
      <c r="BI46" s="3"/>
      <c r="BJ46" s="52">
        <f t="shared" si="33"/>
        <v>3594628</v>
      </c>
      <c r="BK46" s="37">
        <f t="shared" si="43"/>
        <v>39056856.280000001</v>
      </c>
    </row>
    <row r="47" spans="1:65" x14ac:dyDescent="0.35">
      <c r="B47" s="1" t="s">
        <v>298</v>
      </c>
      <c r="G47" s="52">
        <f t="shared" si="34"/>
        <v>0</v>
      </c>
      <c r="H47" s="3"/>
      <c r="I47" s="3"/>
      <c r="J47" s="3"/>
      <c r="K47" s="3"/>
      <c r="L47" s="70">
        <f t="shared" si="35"/>
        <v>0</v>
      </c>
      <c r="Q47" s="52">
        <f t="shared" si="36"/>
        <v>0</v>
      </c>
      <c r="V47" s="52">
        <f t="shared" si="37"/>
        <v>0</v>
      </c>
      <c r="AA47" s="52">
        <f t="shared" si="38"/>
        <v>0</v>
      </c>
      <c r="AB47" s="3"/>
      <c r="AF47" s="52">
        <f t="shared" si="39"/>
        <v>0</v>
      </c>
      <c r="AG47" s="3">
        <v>511854</v>
      </c>
      <c r="AH47" s="3">
        <v>307675</v>
      </c>
      <c r="AK47" s="52">
        <f t="shared" si="40"/>
        <v>819529</v>
      </c>
      <c r="AL47" s="3">
        <f>184758+841146</f>
        <v>1025904</v>
      </c>
      <c r="AM47" s="3">
        <f>164964+524811</f>
        <v>689775</v>
      </c>
      <c r="AP47" s="52">
        <f t="shared" si="41"/>
        <v>1715679</v>
      </c>
      <c r="AU47" s="52">
        <f t="shared" si="42"/>
        <v>0</v>
      </c>
      <c r="AV47" s="28">
        <v>42919.29</v>
      </c>
      <c r="AW47" s="28">
        <v>79935</v>
      </c>
      <c r="AZ47" s="52">
        <f t="shared" si="31"/>
        <v>122854.29000000001</v>
      </c>
      <c r="BA47" s="3"/>
      <c r="BB47" s="3"/>
      <c r="BE47" s="52">
        <f t="shared" si="32"/>
        <v>0</v>
      </c>
      <c r="BJ47" s="52">
        <f t="shared" si="33"/>
        <v>0</v>
      </c>
      <c r="BK47" s="37">
        <f t="shared" si="43"/>
        <v>2658062.29</v>
      </c>
      <c r="BL47" s="69">
        <f>+BK46+BK47</f>
        <v>41714918.57</v>
      </c>
      <c r="BM47" s="3" t="s">
        <v>236</v>
      </c>
    </row>
    <row r="48" spans="1:65" x14ac:dyDescent="0.35">
      <c r="B48" s="53" t="s">
        <v>115</v>
      </c>
      <c r="C48" s="68">
        <f>+C44+C45+C46+C47</f>
        <v>10187698.870000001</v>
      </c>
      <c r="D48" s="68">
        <f t="shared" ref="D48" si="44">+D44+D45+D46+D47</f>
        <v>4283506</v>
      </c>
      <c r="E48" s="68">
        <f t="shared" ref="E48" si="45">+E44+E45+E46+E47</f>
        <v>232784</v>
      </c>
      <c r="F48" s="68">
        <f t="shared" ref="F48" si="46">+F44+F45+F46+F47</f>
        <v>42752</v>
      </c>
      <c r="G48" s="52">
        <f>SUM(C48:F48)</f>
        <v>14746740.870000001</v>
      </c>
      <c r="H48" s="68">
        <f>+H44+H45+H46+H47</f>
        <v>10400152.9</v>
      </c>
      <c r="I48" s="68">
        <f t="shared" ref="I48" si="47">+I44+I45+I46+I47</f>
        <v>4244410</v>
      </c>
      <c r="J48" s="68">
        <f t="shared" ref="J48" si="48">+J44+J45+J46+J47</f>
        <v>232784</v>
      </c>
      <c r="K48" s="68">
        <f t="shared" ref="K48" si="49">+K44+K45+K46+K47</f>
        <v>42752</v>
      </c>
      <c r="L48" s="52">
        <f>SUM(H48:K48)</f>
        <v>14920098.9</v>
      </c>
      <c r="M48" s="68">
        <f>+M44+M45+M46+M47</f>
        <v>10235806</v>
      </c>
      <c r="N48" s="68">
        <f t="shared" ref="N48" si="50">+N44+N45+N46+N47</f>
        <v>4218304.9700000007</v>
      </c>
      <c r="O48" s="68">
        <f t="shared" ref="O48" si="51">+O44+O45+O46+O47</f>
        <v>232784</v>
      </c>
      <c r="P48" s="68">
        <f t="shared" ref="P48" si="52">+P44+P45+P46+P47</f>
        <v>42752</v>
      </c>
      <c r="Q48" s="52">
        <f>SUM(M48:P48)</f>
        <v>14729646.970000001</v>
      </c>
      <c r="R48" s="68">
        <f>+R44+R45+R46+R47</f>
        <v>10408868.84</v>
      </c>
      <c r="S48" s="68">
        <f t="shared" ref="S48" si="53">+S44+S45+S46+S47</f>
        <v>4235444.71</v>
      </c>
      <c r="T48" s="68">
        <f t="shared" ref="T48" si="54">+T44+T45+T46+T47</f>
        <v>232784</v>
      </c>
      <c r="U48" s="68">
        <f t="shared" ref="U48" si="55">+U44+U45+U46+U47</f>
        <v>42752</v>
      </c>
      <c r="V48" s="52">
        <f>SUM(R48:U48)</f>
        <v>14919849.550000001</v>
      </c>
      <c r="W48" s="68">
        <f>+W44+W45+W46+W47</f>
        <v>10728366.68</v>
      </c>
      <c r="X48" s="68">
        <f t="shared" ref="X48" si="56">+X44+X45+X46+X47</f>
        <v>4309538.42</v>
      </c>
      <c r="Y48" s="68">
        <f t="shared" ref="Y48" si="57">+Y44+Y45+Y46+Y47</f>
        <v>232784</v>
      </c>
      <c r="Z48" s="68">
        <f t="shared" ref="Z48" si="58">+Z44+Z45+Z46+Z47</f>
        <v>42752</v>
      </c>
      <c r="AA48" s="52">
        <f>SUM(W48:Z48)</f>
        <v>15313441.1</v>
      </c>
      <c r="AB48" s="68">
        <f>+AB44+AB45+AB46+AB47</f>
        <v>9855824.3499999996</v>
      </c>
      <c r="AC48" s="68">
        <f t="shared" ref="AC48" si="59">+AC44+AC45+AC46+AC47</f>
        <v>5178411.6500000004</v>
      </c>
      <c r="AD48" s="68">
        <f t="shared" ref="AD48" si="60">+AD44+AD45+AD46+AD47</f>
        <v>232784</v>
      </c>
      <c r="AE48" s="68">
        <f t="shared" ref="AE48" si="61">+AE44+AE45+AE46+AE47</f>
        <v>42752</v>
      </c>
      <c r="AF48" s="52">
        <f>SUM(AB48:AE48)</f>
        <v>15309772</v>
      </c>
      <c r="AG48" s="68">
        <f>+AG44+AG45+AG46+AG47</f>
        <v>13728553.01</v>
      </c>
      <c r="AH48" s="68">
        <f t="shared" ref="AH48" si="62">+AH44+AH45+AH46+AH47</f>
        <v>5461976.5499999998</v>
      </c>
      <c r="AI48" s="68">
        <f t="shared" ref="AI48" si="63">+AI44+AI45+AI46+AI47</f>
        <v>287238</v>
      </c>
      <c r="AJ48" s="68">
        <f t="shared" ref="AJ48" si="64">+AJ44+AJ45+AJ46+AJ47</f>
        <v>57101</v>
      </c>
      <c r="AK48" s="52">
        <f>SUM(AG48:AJ48)</f>
        <v>19534868.559999999</v>
      </c>
      <c r="AL48" s="68">
        <f>+AL44+AL45+AL46+AL47</f>
        <v>15978583.59</v>
      </c>
      <c r="AM48" s="68">
        <f t="shared" ref="AM48" si="65">+AM44+AM45+AM46+AM47</f>
        <v>6629012.3799999999</v>
      </c>
      <c r="AN48" s="68">
        <f t="shared" ref="AN48" si="66">+AN44+AN45+AN46+AN47</f>
        <v>271634</v>
      </c>
      <c r="AO48" s="68">
        <f t="shared" ref="AO48" si="67">+AO44+AO45+AO46+AO47</f>
        <v>54586</v>
      </c>
      <c r="AP48" s="52">
        <f>SUM(AL48:AO48)</f>
        <v>22933815.969999999</v>
      </c>
      <c r="AQ48" s="68">
        <f>+AQ44+AQ45+AQ46+AQ47</f>
        <v>11934646</v>
      </c>
      <c r="AR48" s="68">
        <f t="shared" ref="AR48" si="68">+AR44+AR45+AR46+AR47</f>
        <v>4680901</v>
      </c>
      <c r="AS48" s="68">
        <f t="shared" ref="AS48" si="69">+AS44+AS45+AS46+AS47</f>
        <v>229982</v>
      </c>
      <c r="AT48" s="68">
        <f t="shared" ref="AT48" si="70">+AT44+AT45+AT46+AT47</f>
        <v>46758</v>
      </c>
      <c r="AU48" s="52">
        <f>SUM(AQ48:AT48)</f>
        <v>16892287</v>
      </c>
      <c r="AV48" s="68">
        <f>+AV44+AV45+AV46+AV47</f>
        <v>12237053.639999999</v>
      </c>
      <c r="AW48" s="68">
        <f t="shared" ref="AW48:AY48" si="71">+AW44+AW45+AW46+AW47</f>
        <v>5250259.2200000007</v>
      </c>
      <c r="AX48" s="68">
        <f t="shared" si="71"/>
        <v>229982</v>
      </c>
      <c r="AY48" s="68">
        <f t="shared" si="71"/>
        <v>46758</v>
      </c>
      <c r="AZ48" s="52">
        <f>SUM(AV48:AY48)</f>
        <v>17764052.859999999</v>
      </c>
      <c r="BA48" s="68">
        <f>+BA44+BA45+BA46+BA47</f>
        <v>12246419.129999999</v>
      </c>
      <c r="BB48" s="68">
        <f t="shared" ref="BB48" si="72">+BB44+BB45+BB46+BB47</f>
        <v>5061959</v>
      </c>
      <c r="BC48" s="68">
        <f t="shared" ref="BC48" si="73">+BC44+BC45+BC46+BC47</f>
        <v>229982</v>
      </c>
      <c r="BD48" s="68">
        <f t="shared" ref="BD48" si="74">+BD44+BD45+BD46+BD47</f>
        <v>46758</v>
      </c>
      <c r="BE48" s="52">
        <f>SUM(BA48:BD48)</f>
        <v>17585118.129999999</v>
      </c>
      <c r="BF48" s="68">
        <f>+BF44+BF45+BF46+BF47</f>
        <v>12247572.810000001</v>
      </c>
      <c r="BG48" s="68">
        <f t="shared" ref="BG48" si="75">+BG44+BG45+BG46+BG47</f>
        <v>5010594.67</v>
      </c>
      <c r="BH48" s="68">
        <f t="shared" ref="BH48" si="76">+BH44+BH45+BH46+BH47</f>
        <v>229982</v>
      </c>
      <c r="BI48" s="68">
        <f t="shared" ref="BI48" si="77">+BI44+BI45+BI46+BI47</f>
        <v>46758</v>
      </c>
      <c r="BJ48" s="52">
        <f>SUM(BF48:BI48)</f>
        <v>17534907.48</v>
      </c>
      <c r="BK48" s="37">
        <f>+G48+L48+Q48+V48+AA48+AF48+AK48+AP48+AU48+AZ48+BE48+BJ48</f>
        <v>202184599.39000002</v>
      </c>
      <c r="BL48" s="28">
        <f>+BK43-BK48</f>
        <v>-147860396.82000002</v>
      </c>
    </row>
    <row r="49" spans="1:65" x14ac:dyDescent="0.35">
      <c r="G49" s="69">
        <f>+G43-G48</f>
        <v>6462446.0999999978</v>
      </c>
      <c r="L49" s="69">
        <f>+L43-L48</f>
        <v>-12128141.9</v>
      </c>
      <c r="Q49" s="69">
        <f>+Q43-Q48</f>
        <v>-11896683.270000001</v>
      </c>
      <c r="V49" s="69">
        <f>+V43-V48</f>
        <v>-12067386.100000001</v>
      </c>
      <c r="AA49" s="69">
        <f>+AA43-AA48</f>
        <v>-12486284.1</v>
      </c>
      <c r="AF49" s="69">
        <f>+AF43-AF48</f>
        <v>-12223715.84</v>
      </c>
      <c r="AK49" s="69">
        <f>+AK43-AK48</f>
        <v>-16046450.139999999</v>
      </c>
      <c r="AP49" s="69">
        <f>+AP43-AP48</f>
        <v>-19767029.969999999</v>
      </c>
      <c r="AU49" s="69">
        <f>+AU43-AU48</f>
        <v>-13908333</v>
      </c>
      <c r="AZ49" s="69">
        <f>+AZ43-AZ48</f>
        <v>-14780098.859999999</v>
      </c>
      <c r="BE49" s="69">
        <f>+BE43-BE48</f>
        <v>-14441036.26</v>
      </c>
      <c r="BJ49" s="69">
        <f>+BJ43-BJ48</f>
        <v>-14577683.48</v>
      </c>
      <c r="BK49" s="28">
        <f>+BK43-BK44-BK45</f>
        <v>-106145478.24999997</v>
      </c>
      <c r="BM49" s="3" t="s">
        <v>236</v>
      </c>
    </row>
    <row r="50" spans="1:65" x14ac:dyDescent="0.35">
      <c r="H50" s="1" t="s">
        <v>325</v>
      </c>
      <c r="R50" s="1" t="s">
        <v>328</v>
      </c>
      <c r="W50" s="1" t="s">
        <v>334</v>
      </c>
      <c r="AC50" s="1" t="s">
        <v>299</v>
      </c>
      <c r="AG50" s="1" t="s">
        <v>330</v>
      </c>
      <c r="AH50" s="1" t="s">
        <v>329</v>
      </c>
      <c r="AL50" s="1" t="s">
        <v>318</v>
      </c>
      <c r="AM50" s="1" t="s">
        <v>319</v>
      </c>
      <c r="AQ50" s="1" t="s">
        <v>315</v>
      </c>
      <c r="AV50" s="1" t="s">
        <v>308</v>
      </c>
      <c r="AW50" s="1" t="s">
        <v>309</v>
      </c>
      <c r="BA50" s="1" t="s">
        <v>303</v>
      </c>
      <c r="BB50" s="1" t="s">
        <v>304</v>
      </c>
      <c r="BF50" s="1" t="s">
        <v>307</v>
      </c>
      <c r="BK50" s="28"/>
    </row>
    <row r="51" spans="1:65" x14ac:dyDescent="0.35">
      <c r="R51" s="1" t="s">
        <v>333</v>
      </c>
      <c r="AB51" s="1" t="s">
        <v>316</v>
      </c>
      <c r="AC51" s="1" t="s">
        <v>317</v>
      </c>
      <c r="AG51" s="1" t="s">
        <v>332</v>
      </c>
      <c r="AL51" s="1" t="s">
        <v>320</v>
      </c>
      <c r="AM51" s="1" t="s">
        <v>320</v>
      </c>
      <c r="AV51" s="1" t="s">
        <v>313</v>
      </c>
      <c r="AW51" s="1" t="s">
        <v>314</v>
      </c>
      <c r="BK51" s="28"/>
    </row>
    <row r="52" spans="1:65" x14ac:dyDescent="0.35">
      <c r="AB52" s="1" t="s">
        <v>335</v>
      </c>
      <c r="AL52" s="1" t="s">
        <v>321</v>
      </c>
      <c r="AM52" s="1" t="s">
        <v>321</v>
      </c>
      <c r="AW52" s="1" t="s">
        <v>310</v>
      </c>
      <c r="BK52" s="28"/>
    </row>
    <row r="53" spans="1:65" x14ac:dyDescent="0.35">
      <c r="AL53" s="1" t="s">
        <v>322</v>
      </c>
      <c r="AW53" s="1" t="s">
        <v>311</v>
      </c>
      <c r="BK53" s="28"/>
    </row>
    <row r="54" spans="1:65" x14ac:dyDescent="0.35">
      <c r="AL54" s="1" t="s">
        <v>323</v>
      </c>
      <c r="AW54" s="1" t="s">
        <v>312</v>
      </c>
      <c r="BK54" s="28"/>
    </row>
    <row r="56" spans="1:65" x14ac:dyDescent="0.35">
      <c r="A56" s="5" t="s">
        <v>113</v>
      </c>
      <c r="B56" s="5"/>
      <c r="C56" s="105" t="s">
        <v>285</v>
      </c>
      <c r="D56" s="106"/>
      <c r="E56" s="106"/>
      <c r="F56" s="106"/>
      <c r="G56" s="107"/>
      <c r="H56" s="105" t="s">
        <v>286</v>
      </c>
      <c r="I56" s="106"/>
      <c r="J56" s="106"/>
      <c r="K56" s="106"/>
      <c r="L56" s="107"/>
      <c r="M56" s="105" t="s">
        <v>287</v>
      </c>
      <c r="N56" s="106"/>
      <c r="O56" s="106"/>
      <c r="P56" s="106"/>
      <c r="Q56" s="107"/>
      <c r="R56" s="108" t="s">
        <v>288</v>
      </c>
      <c r="S56" s="109"/>
      <c r="T56" s="109"/>
      <c r="U56" s="109"/>
      <c r="V56" s="110"/>
      <c r="W56" s="105" t="s">
        <v>289</v>
      </c>
      <c r="X56" s="106"/>
      <c r="Y56" s="106"/>
      <c r="Z56" s="106"/>
      <c r="AA56" s="107"/>
      <c r="AB56" s="105" t="s">
        <v>290</v>
      </c>
      <c r="AC56" s="106"/>
      <c r="AD56" s="106"/>
      <c r="AE56" s="106"/>
      <c r="AF56" s="107"/>
      <c r="AG56" s="105" t="s">
        <v>291</v>
      </c>
      <c r="AH56" s="106"/>
      <c r="AI56" s="106"/>
      <c r="AJ56" s="106"/>
      <c r="AK56" s="107"/>
      <c r="AL56" s="105" t="s">
        <v>292</v>
      </c>
      <c r="AM56" s="106"/>
      <c r="AN56" s="106"/>
      <c r="AO56" s="106"/>
      <c r="AP56" s="107"/>
      <c r="AQ56" s="105" t="s">
        <v>293</v>
      </c>
      <c r="AR56" s="106"/>
      <c r="AS56" s="106"/>
      <c r="AT56" s="106"/>
      <c r="AU56" s="107"/>
      <c r="AV56" s="105" t="s">
        <v>294</v>
      </c>
      <c r="AW56" s="106"/>
      <c r="AX56" s="106"/>
      <c r="AY56" s="106"/>
      <c r="AZ56" s="107"/>
      <c r="BA56" s="105" t="s">
        <v>295</v>
      </c>
      <c r="BB56" s="106"/>
      <c r="BC56" s="106"/>
      <c r="BD56" s="106"/>
      <c r="BE56" s="107"/>
      <c r="BF56" s="113" t="s">
        <v>296</v>
      </c>
      <c r="BG56" s="114"/>
      <c r="BH56" s="114"/>
      <c r="BI56" s="114"/>
      <c r="BJ56" s="115"/>
      <c r="BK56" s="111" t="s">
        <v>227</v>
      </c>
    </row>
    <row r="57" spans="1:65" x14ac:dyDescent="0.35">
      <c r="A57" s="5" t="s">
        <v>103</v>
      </c>
      <c r="B57" s="5" t="s">
        <v>100</v>
      </c>
      <c r="C57" s="5" t="s">
        <v>17</v>
      </c>
      <c r="D57" s="5" t="s">
        <v>18</v>
      </c>
      <c r="E57" s="5" t="s">
        <v>101</v>
      </c>
      <c r="F57" s="5" t="s">
        <v>102</v>
      </c>
      <c r="G57" s="5" t="s">
        <v>227</v>
      </c>
      <c r="H57" s="5" t="s">
        <v>17</v>
      </c>
      <c r="I57" s="5" t="s">
        <v>18</v>
      </c>
      <c r="J57" s="5" t="s">
        <v>101</v>
      </c>
      <c r="K57" s="5" t="s">
        <v>102</v>
      </c>
      <c r="L57" s="5" t="s">
        <v>227</v>
      </c>
      <c r="M57" s="5" t="s">
        <v>17</v>
      </c>
      <c r="N57" s="5" t="s">
        <v>18</v>
      </c>
      <c r="O57" s="5" t="s">
        <v>101</v>
      </c>
      <c r="P57" s="5" t="s">
        <v>102</v>
      </c>
      <c r="Q57" s="5" t="s">
        <v>227</v>
      </c>
      <c r="R57" s="5" t="s">
        <v>17</v>
      </c>
      <c r="S57" s="5" t="s">
        <v>18</v>
      </c>
      <c r="T57" s="5" t="s">
        <v>101</v>
      </c>
      <c r="U57" s="5" t="s">
        <v>102</v>
      </c>
      <c r="V57" s="5" t="s">
        <v>227</v>
      </c>
      <c r="W57" s="5" t="s">
        <v>17</v>
      </c>
      <c r="X57" s="5" t="s">
        <v>18</v>
      </c>
      <c r="Y57" s="5" t="s">
        <v>101</v>
      </c>
      <c r="Z57" s="5" t="s">
        <v>102</v>
      </c>
      <c r="AA57" s="5" t="s">
        <v>227</v>
      </c>
      <c r="AB57" s="5" t="s">
        <v>17</v>
      </c>
      <c r="AC57" s="5" t="s">
        <v>18</v>
      </c>
      <c r="AD57" s="5" t="s">
        <v>101</v>
      </c>
      <c r="AE57" s="5" t="s">
        <v>102</v>
      </c>
      <c r="AF57" s="5" t="s">
        <v>227</v>
      </c>
      <c r="AG57" s="5" t="s">
        <v>17</v>
      </c>
      <c r="AH57" s="5" t="s">
        <v>18</v>
      </c>
      <c r="AI57" s="5" t="s">
        <v>101</v>
      </c>
      <c r="AJ57" s="5" t="s">
        <v>102</v>
      </c>
      <c r="AK57" s="5" t="s">
        <v>227</v>
      </c>
      <c r="AL57" s="5" t="s">
        <v>17</v>
      </c>
      <c r="AM57" s="5" t="s">
        <v>18</v>
      </c>
      <c r="AN57" s="5" t="s">
        <v>101</v>
      </c>
      <c r="AO57" s="5" t="s">
        <v>102</v>
      </c>
      <c r="AP57" s="5" t="s">
        <v>227</v>
      </c>
      <c r="AQ57" s="5" t="s">
        <v>17</v>
      </c>
      <c r="AR57" s="5" t="s">
        <v>18</v>
      </c>
      <c r="AS57" s="5" t="s">
        <v>101</v>
      </c>
      <c r="AT57" s="5" t="s">
        <v>102</v>
      </c>
      <c r="AU57" s="5" t="s">
        <v>227</v>
      </c>
      <c r="AV57" s="5" t="s">
        <v>17</v>
      </c>
      <c r="AW57" s="5" t="s">
        <v>18</v>
      </c>
      <c r="AX57" s="5" t="s">
        <v>101</v>
      </c>
      <c r="AY57" s="5" t="s">
        <v>102</v>
      </c>
      <c r="AZ57" s="5" t="s">
        <v>227</v>
      </c>
      <c r="BA57" s="5" t="s">
        <v>17</v>
      </c>
      <c r="BB57" s="5" t="s">
        <v>18</v>
      </c>
      <c r="BC57" s="5" t="s">
        <v>101</v>
      </c>
      <c r="BD57" s="5" t="s">
        <v>102</v>
      </c>
      <c r="BE57" s="5" t="s">
        <v>227</v>
      </c>
      <c r="BF57" s="5" t="s">
        <v>17</v>
      </c>
      <c r="BG57" s="5" t="s">
        <v>18</v>
      </c>
      <c r="BH57" s="5" t="s">
        <v>101</v>
      </c>
      <c r="BI57" s="5" t="s">
        <v>102</v>
      </c>
      <c r="BJ57" s="5" t="s">
        <v>227</v>
      </c>
      <c r="BK57" s="112"/>
    </row>
    <row r="58" spans="1:65" x14ac:dyDescent="0.35">
      <c r="A58" s="36" t="s">
        <v>1</v>
      </c>
      <c r="B58" s="36" t="s">
        <v>104</v>
      </c>
      <c r="C58" s="37">
        <v>5600</v>
      </c>
      <c r="D58" s="37"/>
      <c r="E58" s="37"/>
      <c r="F58" s="37"/>
      <c r="G58" s="37">
        <f t="shared" ref="G58:G66" si="78">SUM(C58:F58)</f>
        <v>5600</v>
      </c>
      <c r="H58" s="37">
        <v>5600</v>
      </c>
      <c r="I58" s="37"/>
      <c r="J58" s="37"/>
      <c r="K58" s="37"/>
      <c r="L58" s="37">
        <f t="shared" ref="L58:L66" si="79">SUM(H58:K58)</f>
        <v>5600</v>
      </c>
      <c r="M58" s="37">
        <v>5600</v>
      </c>
      <c r="N58" s="37"/>
      <c r="O58" s="37"/>
      <c r="P58" s="37"/>
      <c r="Q58" s="37">
        <f t="shared" ref="Q58:Q66" si="80">SUM(M58:P58)</f>
        <v>5600</v>
      </c>
      <c r="R58" s="37">
        <v>5600</v>
      </c>
      <c r="S58" s="37"/>
      <c r="T58" s="37"/>
      <c r="U58" s="37"/>
      <c r="V58" s="37">
        <f t="shared" ref="V58:V66" si="81">SUM(R58:U58)</f>
        <v>5600</v>
      </c>
      <c r="W58" s="37">
        <v>5600</v>
      </c>
      <c r="X58" s="37"/>
      <c r="Y58" s="37"/>
      <c r="Z58" s="37"/>
      <c r="AA58" s="37">
        <f t="shared" ref="AA58:AA66" si="82">SUM(W58:Z58)</f>
        <v>5600</v>
      </c>
      <c r="AB58" s="37">
        <v>5600</v>
      </c>
      <c r="AC58" s="37"/>
      <c r="AD58" s="37"/>
      <c r="AE58" s="37"/>
      <c r="AF58" s="37">
        <f t="shared" ref="AF58:AF66" si="83">SUM(AB58:AE58)</f>
        <v>5600</v>
      </c>
      <c r="AG58" s="37">
        <v>5600</v>
      </c>
      <c r="AH58" s="37"/>
      <c r="AI58" s="37"/>
      <c r="AJ58" s="37"/>
      <c r="AK58" s="37">
        <f t="shared" ref="AK58:AK66" si="84">SUM(AG58:AJ58)</f>
        <v>5600</v>
      </c>
      <c r="AL58" s="37">
        <v>5600</v>
      </c>
      <c r="AM58" s="37"/>
      <c r="AN58" s="37"/>
      <c r="AO58" s="37"/>
      <c r="AP58" s="37">
        <f t="shared" ref="AP58:AP66" si="85">SUM(AL58:AO58)</f>
        <v>5600</v>
      </c>
      <c r="AQ58" s="37">
        <v>5600</v>
      </c>
      <c r="AR58" s="37"/>
      <c r="AS58" s="37"/>
      <c r="AT58" s="37"/>
      <c r="AU58" s="37">
        <f t="shared" ref="AU58:AU66" si="86">SUM(AQ58:AT58)</f>
        <v>5600</v>
      </c>
      <c r="AV58" s="37">
        <v>5600</v>
      </c>
      <c r="AW58" s="37"/>
      <c r="AX58" s="37"/>
      <c r="AY58" s="37"/>
      <c r="AZ58" s="37">
        <f t="shared" ref="AZ58:AZ66" si="87">SUM(AV58:AY58)</f>
        <v>5600</v>
      </c>
      <c r="BA58" s="37">
        <v>5600</v>
      </c>
      <c r="BB58" s="37"/>
      <c r="BC58" s="37"/>
      <c r="BD58" s="37"/>
      <c r="BE58" s="37">
        <f t="shared" ref="BE58:BE66" si="88">SUM(BA58:BD58)</f>
        <v>5600</v>
      </c>
      <c r="BF58" s="37">
        <v>5600</v>
      </c>
      <c r="BG58" s="37"/>
      <c r="BH58" s="37"/>
      <c r="BI58" s="37"/>
      <c r="BJ58" s="37">
        <f t="shared" ref="BJ58:BJ66" si="89">SUM(BF58:BI58)</f>
        <v>5600</v>
      </c>
      <c r="BK58" s="37">
        <f t="shared" ref="BK58:BK66" si="90">+G58+L58+Q58+V58+AA58+AF58+AK58+AP58+AU58+AZ58+BE58+BJ58</f>
        <v>67200</v>
      </c>
    </row>
    <row r="59" spans="1:65" x14ac:dyDescent="0.35">
      <c r="A59" s="34" t="s">
        <v>2</v>
      </c>
      <c r="B59" s="34" t="s">
        <v>104</v>
      </c>
      <c r="C59" s="35"/>
      <c r="D59" s="35">
        <v>5600</v>
      </c>
      <c r="E59" s="35"/>
      <c r="F59" s="35"/>
      <c r="G59" s="37">
        <f t="shared" si="78"/>
        <v>5600</v>
      </c>
      <c r="H59" s="35"/>
      <c r="I59" s="35">
        <v>5600</v>
      </c>
      <c r="J59" s="35"/>
      <c r="K59" s="35"/>
      <c r="L59" s="37">
        <f t="shared" si="79"/>
        <v>5600</v>
      </c>
      <c r="M59" s="35"/>
      <c r="N59" s="35">
        <v>5600</v>
      </c>
      <c r="O59" s="35"/>
      <c r="P59" s="35"/>
      <c r="Q59" s="37">
        <f t="shared" si="80"/>
        <v>5600</v>
      </c>
      <c r="R59" s="35"/>
      <c r="S59" s="35">
        <v>5600</v>
      </c>
      <c r="T59" s="35"/>
      <c r="U59" s="35"/>
      <c r="V59" s="37">
        <f t="shared" si="81"/>
        <v>5600</v>
      </c>
      <c r="W59" s="35"/>
      <c r="X59" s="35">
        <v>5600</v>
      </c>
      <c r="Y59" s="35"/>
      <c r="Z59" s="35"/>
      <c r="AA59" s="37">
        <f t="shared" si="82"/>
        <v>5600</v>
      </c>
      <c r="AB59" s="35"/>
      <c r="AC59" s="35">
        <v>5600</v>
      </c>
      <c r="AD59" s="35"/>
      <c r="AE59" s="35"/>
      <c r="AF59" s="37">
        <f t="shared" si="83"/>
        <v>5600</v>
      </c>
      <c r="AG59" s="35"/>
      <c r="AH59" s="35">
        <v>5600</v>
      </c>
      <c r="AI59" s="35"/>
      <c r="AJ59" s="35"/>
      <c r="AK59" s="37">
        <f t="shared" si="84"/>
        <v>5600</v>
      </c>
      <c r="AL59" s="35"/>
      <c r="AM59" s="35">
        <v>5600</v>
      </c>
      <c r="AN59" s="35"/>
      <c r="AO59" s="35"/>
      <c r="AP59" s="37">
        <f t="shared" si="85"/>
        <v>5600</v>
      </c>
      <c r="AQ59" s="35"/>
      <c r="AR59" s="35">
        <v>5600</v>
      </c>
      <c r="AS59" s="35"/>
      <c r="AT59" s="35"/>
      <c r="AU59" s="37">
        <f t="shared" si="86"/>
        <v>5600</v>
      </c>
      <c r="AV59" s="35"/>
      <c r="AW59" s="35">
        <v>5600</v>
      </c>
      <c r="AX59" s="35"/>
      <c r="AY59" s="35"/>
      <c r="AZ59" s="37">
        <f t="shared" si="87"/>
        <v>5600</v>
      </c>
      <c r="BA59" s="35"/>
      <c r="BB59" s="35">
        <v>5600</v>
      </c>
      <c r="BC59" s="35"/>
      <c r="BD59" s="35"/>
      <c r="BE59" s="37">
        <f t="shared" si="88"/>
        <v>5600</v>
      </c>
      <c r="BF59" s="35"/>
      <c r="BG59" s="35">
        <v>5600</v>
      </c>
      <c r="BH59" s="35"/>
      <c r="BI59" s="35"/>
      <c r="BJ59" s="37">
        <f t="shared" si="89"/>
        <v>5600</v>
      </c>
      <c r="BK59" s="37">
        <f t="shared" si="90"/>
        <v>67200</v>
      </c>
    </row>
    <row r="60" spans="1:65" x14ac:dyDescent="0.35">
      <c r="A60" s="34" t="s">
        <v>1</v>
      </c>
      <c r="B60" s="34" t="s">
        <v>106</v>
      </c>
      <c r="C60" s="35">
        <v>28000</v>
      </c>
      <c r="D60" s="35"/>
      <c r="E60" s="35"/>
      <c r="F60" s="35"/>
      <c r="G60" s="37">
        <f t="shared" si="78"/>
        <v>28000</v>
      </c>
      <c r="H60" s="35">
        <v>28000</v>
      </c>
      <c r="I60" s="35"/>
      <c r="J60" s="35"/>
      <c r="K60" s="35"/>
      <c r="L60" s="37">
        <f t="shared" si="79"/>
        <v>28000</v>
      </c>
      <c r="M60" s="35">
        <v>28000</v>
      </c>
      <c r="N60" s="35"/>
      <c r="O60" s="35"/>
      <c r="P60" s="35"/>
      <c r="Q60" s="37">
        <f t="shared" si="80"/>
        <v>28000</v>
      </c>
      <c r="R60" s="35">
        <v>28000</v>
      </c>
      <c r="S60" s="35"/>
      <c r="T60" s="35"/>
      <c r="U60" s="35"/>
      <c r="V60" s="37">
        <f t="shared" si="81"/>
        <v>28000</v>
      </c>
      <c r="W60" s="35">
        <v>28000</v>
      </c>
      <c r="X60" s="35"/>
      <c r="Y60" s="35"/>
      <c r="Z60" s="35"/>
      <c r="AA60" s="37">
        <f t="shared" si="82"/>
        <v>28000</v>
      </c>
      <c r="AB60" s="35">
        <v>28000</v>
      </c>
      <c r="AC60" s="35"/>
      <c r="AD60" s="35"/>
      <c r="AE60" s="35"/>
      <c r="AF60" s="37">
        <f t="shared" si="83"/>
        <v>28000</v>
      </c>
      <c r="AG60" s="35">
        <f>59400+32300</f>
        <v>91700</v>
      </c>
      <c r="AH60" s="35"/>
      <c r="AI60" s="35"/>
      <c r="AJ60" s="35"/>
      <c r="AK60" s="37">
        <f t="shared" si="84"/>
        <v>91700</v>
      </c>
      <c r="AL60" s="35">
        <v>32300</v>
      </c>
      <c r="AM60" s="35"/>
      <c r="AN60" s="35"/>
      <c r="AO60" s="35"/>
      <c r="AP60" s="37">
        <f t="shared" si="85"/>
        <v>32300</v>
      </c>
      <c r="AQ60" s="35">
        <v>32300</v>
      </c>
      <c r="AR60" s="35"/>
      <c r="AS60" s="35"/>
      <c r="AT60" s="35"/>
      <c r="AU60" s="37">
        <f t="shared" si="86"/>
        <v>32300</v>
      </c>
      <c r="AV60" s="35">
        <v>32300</v>
      </c>
      <c r="AW60" s="35"/>
      <c r="AX60" s="35"/>
      <c r="AY60" s="35"/>
      <c r="AZ60" s="37">
        <f t="shared" si="87"/>
        <v>32300</v>
      </c>
      <c r="BA60" s="35">
        <v>32300</v>
      </c>
      <c r="BB60" s="35"/>
      <c r="BC60" s="35"/>
      <c r="BD60" s="35"/>
      <c r="BE60" s="37">
        <f t="shared" si="88"/>
        <v>32300</v>
      </c>
      <c r="BF60" s="35">
        <v>32300</v>
      </c>
      <c r="BG60" s="35"/>
      <c r="BH60" s="35"/>
      <c r="BI60" s="35"/>
      <c r="BJ60" s="37">
        <f t="shared" si="89"/>
        <v>32300</v>
      </c>
      <c r="BK60" s="37">
        <f t="shared" si="90"/>
        <v>421200</v>
      </c>
    </row>
    <row r="61" spans="1:65" x14ac:dyDescent="0.35">
      <c r="A61" s="34" t="s">
        <v>1</v>
      </c>
      <c r="B61" s="34" t="s">
        <v>300</v>
      </c>
      <c r="C61" s="35">
        <v>5600</v>
      </c>
      <c r="D61" s="35"/>
      <c r="E61" s="35"/>
      <c r="F61" s="35"/>
      <c r="G61" s="37">
        <f t="shared" ref="G61" si="91">SUM(C61:F61)</f>
        <v>5600</v>
      </c>
      <c r="H61" s="35">
        <v>5600</v>
      </c>
      <c r="I61" s="35"/>
      <c r="J61" s="35"/>
      <c r="K61" s="35"/>
      <c r="L61" s="37">
        <f t="shared" ref="L61" si="92">SUM(H61:K61)</f>
        <v>5600</v>
      </c>
      <c r="M61" s="35">
        <v>5600</v>
      </c>
      <c r="N61" s="35"/>
      <c r="O61" s="35"/>
      <c r="P61" s="35"/>
      <c r="Q61" s="37">
        <f t="shared" ref="Q61" si="93">SUM(M61:P61)</f>
        <v>5600</v>
      </c>
      <c r="R61" s="35">
        <v>5600</v>
      </c>
      <c r="S61" s="35"/>
      <c r="T61" s="35"/>
      <c r="U61" s="35"/>
      <c r="V61" s="37">
        <f t="shared" ref="V61" si="94">SUM(R61:U61)</f>
        <v>5600</v>
      </c>
      <c r="W61" s="35">
        <v>5600</v>
      </c>
      <c r="X61" s="35"/>
      <c r="Y61" s="35"/>
      <c r="Z61" s="35"/>
      <c r="AA61" s="37">
        <f t="shared" ref="AA61" si="95">SUM(W61:Z61)</f>
        <v>5600</v>
      </c>
      <c r="AB61" s="35">
        <v>5600</v>
      </c>
      <c r="AC61" s="35"/>
      <c r="AD61" s="35"/>
      <c r="AE61" s="35"/>
      <c r="AF61" s="37">
        <f t="shared" ref="AF61" si="96">SUM(AB61:AE61)</f>
        <v>5600</v>
      </c>
      <c r="AG61" s="35">
        <f>33600+33600+16800</f>
        <v>84000</v>
      </c>
      <c r="AH61" s="35"/>
      <c r="AI61" s="35"/>
      <c r="AJ61" s="35"/>
      <c r="AK61" s="37">
        <f t="shared" ref="AK61" si="97">SUM(AG61:AJ61)</f>
        <v>84000</v>
      </c>
      <c r="AL61" s="35">
        <v>16800</v>
      </c>
      <c r="AM61" s="35"/>
      <c r="AN61" s="35"/>
      <c r="AO61" s="35"/>
      <c r="AP61" s="37">
        <f t="shared" ref="AP61" si="98">SUM(AL61:AO61)</f>
        <v>16800</v>
      </c>
      <c r="AQ61" s="35">
        <v>16800</v>
      </c>
      <c r="AR61" s="35"/>
      <c r="AS61" s="35"/>
      <c r="AT61" s="35"/>
      <c r="AU61" s="37">
        <f t="shared" ref="AU61" si="99">SUM(AQ61:AT61)</f>
        <v>16800</v>
      </c>
      <c r="AV61" s="35">
        <v>16800</v>
      </c>
      <c r="AW61" s="35"/>
      <c r="AX61" s="35"/>
      <c r="AY61" s="35"/>
      <c r="AZ61" s="37">
        <f t="shared" ref="AZ61" si="100">SUM(AV61:AY61)</f>
        <v>16800</v>
      </c>
      <c r="BA61" s="35">
        <v>16800</v>
      </c>
      <c r="BB61" s="35"/>
      <c r="BC61" s="35"/>
      <c r="BD61" s="35"/>
      <c r="BE61" s="37">
        <f t="shared" ref="BE61" si="101">SUM(BA61:BD61)</f>
        <v>16800</v>
      </c>
      <c r="BF61" s="35">
        <f>27813.33+22400</f>
        <v>50213.33</v>
      </c>
      <c r="BG61" s="35"/>
      <c r="BH61" s="35"/>
      <c r="BI61" s="35"/>
      <c r="BJ61" s="37">
        <f t="shared" ref="BJ61" si="102">SUM(BF61:BI61)</f>
        <v>50213.33</v>
      </c>
      <c r="BK61" s="37">
        <f t="shared" ref="BK61" si="103">+G61+L61+Q61+V61+AA61+AF61+AK61+AP61+AU61+AZ61+BE61+BJ61</f>
        <v>235013.33000000002</v>
      </c>
    </row>
    <row r="62" spans="1:65" x14ac:dyDescent="0.35">
      <c r="A62" s="34" t="s">
        <v>3</v>
      </c>
      <c r="B62" s="34" t="s">
        <v>105</v>
      </c>
      <c r="C62" s="35">
        <v>11200</v>
      </c>
      <c r="D62" s="35">
        <v>5600</v>
      </c>
      <c r="E62" s="35"/>
      <c r="F62" s="35"/>
      <c r="G62" s="37">
        <f t="shared" si="78"/>
        <v>16800</v>
      </c>
      <c r="H62" s="35">
        <v>11200</v>
      </c>
      <c r="I62" s="35">
        <v>5600</v>
      </c>
      <c r="J62" s="35"/>
      <c r="K62" s="35"/>
      <c r="L62" s="37">
        <f t="shared" si="79"/>
        <v>16800</v>
      </c>
      <c r="M62" s="35">
        <v>11200</v>
      </c>
      <c r="N62" s="35">
        <v>5600</v>
      </c>
      <c r="O62" s="35"/>
      <c r="P62" s="35"/>
      <c r="Q62" s="37">
        <f t="shared" si="80"/>
        <v>16800</v>
      </c>
      <c r="R62" s="35">
        <v>11200</v>
      </c>
      <c r="S62" s="35">
        <v>5600</v>
      </c>
      <c r="T62" s="35"/>
      <c r="U62" s="35"/>
      <c r="V62" s="37">
        <f t="shared" si="81"/>
        <v>16800</v>
      </c>
      <c r="W62" s="35">
        <v>11200</v>
      </c>
      <c r="X62" s="35">
        <v>5600</v>
      </c>
      <c r="Y62" s="35"/>
      <c r="Z62" s="35"/>
      <c r="AA62" s="37">
        <f t="shared" si="82"/>
        <v>16800</v>
      </c>
      <c r="AB62" s="35">
        <v>11200</v>
      </c>
      <c r="AC62" s="35">
        <v>5600</v>
      </c>
      <c r="AD62" s="35"/>
      <c r="AE62" s="35"/>
      <c r="AF62" s="37">
        <f t="shared" si="83"/>
        <v>16800</v>
      </c>
      <c r="AG62" s="35">
        <v>11200</v>
      </c>
      <c r="AH62" s="35">
        <v>5600</v>
      </c>
      <c r="AI62" s="35"/>
      <c r="AJ62" s="35"/>
      <c r="AK62" s="37">
        <f t="shared" si="84"/>
        <v>16800</v>
      </c>
      <c r="AL62" s="35">
        <v>11200</v>
      </c>
      <c r="AM62" s="35">
        <v>5600</v>
      </c>
      <c r="AN62" s="35"/>
      <c r="AO62" s="35"/>
      <c r="AP62" s="37">
        <f t="shared" si="85"/>
        <v>16800</v>
      </c>
      <c r="AQ62" s="35">
        <v>11200</v>
      </c>
      <c r="AR62" s="35">
        <v>5600</v>
      </c>
      <c r="AS62" s="35"/>
      <c r="AT62" s="35"/>
      <c r="AU62" s="37">
        <f t="shared" si="86"/>
        <v>16800</v>
      </c>
      <c r="AV62" s="35">
        <v>11200</v>
      </c>
      <c r="AW62" s="35">
        <v>5600</v>
      </c>
      <c r="AX62" s="35"/>
      <c r="AY62" s="35"/>
      <c r="AZ62" s="37">
        <f t="shared" si="87"/>
        <v>16800</v>
      </c>
      <c r="BA62" s="35">
        <v>11200</v>
      </c>
      <c r="BB62" s="35">
        <v>5600</v>
      </c>
      <c r="BC62" s="35"/>
      <c r="BD62" s="35"/>
      <c r="BE62" s="37">
        <f t="shared" si="88"/>
        <v>16800</v>
      </c>
      <c r="BF62" s="35">
        <v>11200</v>
      </c>
      <c r="BG62" s="35">
        <v>5600</v>
      </c>
      <c r="BH62" s="35"/>
      <c r="BI62" s="35"/>
      <c r="BJ62" s="37">
        <f t="shared" si="89"/>
        <v>16800</v>
      </c>
      <c r="BK62" s="37">
        <f t="shared" si="90"/>
        <v>201600</v>
      </c>
    </row>
    <row r="63" spans="1:65" x14ac:dyDescent="0.35">
      <c r="A63" s="34" t="s">
        <v>4</v>
      </c>
      <c r="B63" s="34" t="s">
        <v>117</v>
      </c>
      <c r="C63" s="35">
        <f>5600*3+5600</f>
        <v>22400</v>
      </c>
      <c r="D63" s="35"/>
      <c r="E63" s="35"/>
      <c r="F63" s="35"/>
      <c r="G63" s="37">
        <f t="shared" si="78"/>
        <v>22400</v>
      </c>
      <c r="H63" s="35">
        <f>5600*3+5600</f>
        <v>22400</v>
      </c>
      <c r="I63" s="35"/>
      <c r="J63" s="35"/>
      <c r="K63" s="35"/>
      <c r="L63" s="37">
        <f t="shared" si="79"/>
        <v>22400</v>
      </c>
      <c r="M63" s="35">
        <f>5600*3+5600</f>
        <v>22400</v>
      </c>
      <c r="N63" s="35"/>
      <c r="O63" s="35"/>
      <c r="P63" s="35"/>
      <c r="Q63" s="37">
        <f t="shared" si="80"/>
        <v>22400</v>
      </c>
      <c r="R63" s="35">
        <f>5600*4</f>
        <v>22400</v>
      </c>
      <c r="S63" s="35"/>
      <c r="T63" s="35"/>
      <c r="U63" s="35"/>
      <c r="V63" s="37">
        <f t="shared" si="81"/>
        <v>22400</v>
      </c>
      <c r="W63" s="35">
        <f>5600*4</f>
        <v>22400</v>
      </c>
      <c r="X63" s="35"/>
      <c r="Y63" s="35"/>
      <c r="Z63" s="35"/>
      <c r="AA63" s="37">
        <f t="shared" si="82"/>
        <v>22400</v>
      </c>
      <c r="AB63" s="35">
        <f>5600*4</f>
        <v>22400</v>
      </c>
      <c r="AC63" s="35"/>
      <c r="AD63" s="35"/>
      <c r="AE63" s="35"/>
      <c r="AF63" s="37">
        <f t="shared" si="83"/>
        <v>22400</v>
      </c>
      <c r="AG63" s="35">
        <f>5600*4</f>
        <v>22400</v>
      </c>
      <c r="AH63" s="35"/>
      <c r="AI63" s="35"/>
      <c r="AJ63" s="35"/>
      <c r="AK63" s="37">
        <f t="shared" si="84"/>
        <v>22400</v>
      </c>
      <c r="AL63" s="35">
        <f>5600*4</f>
        <v>22400</v>
      </c>
      <c r="AM63" s="35"/>
      <c r="AN63" s="35"/>
      <c r="AO63" s="35"/>
      <c r="AP63" s="37">
        <f t="shared" si="85"/>
        <v>22400</v>
      </c>
      <c r="AQ63" s="35">
        <f>5600*4</f>
        <v>22400</v>
      </c>
      <c r="AR63" s="35"/>
      <c r="AS63" s="35"/>
      <c r="AT63" s="35"/>
      <c r="AU63" s="37">
        <f t="shared" si="86"/>
        <v>22400</v>
      </c>
      <c r="AV63" s="35">
        <f>5600*4</f>
        <v>22400</v>
      </c>
      <c r="AW63" s="35"/>
      <c r="AX63" s="35"/>
      <c r="AY63" s="35"/>
      <c r="AZ63" s="37">
        <f t="shared" si="87"/>
        <v>22400</v>
      </c>
      <c r="BA63" s="35">
        <f>5600*4</f>
        <v>22400</v>
      </c>
      <c r="BB63" s="35"/>
      <c r="BC63" s="35"/>
      <c r="BD63" s="35"/>
      <c r="BE63" s="37">
        <f t="shared" si="88"/>
        <v>22400</v>
      </c>
      <c r="BF63" s="35">
        <f>5600*4</f>
        <v>22400</v>
      </c>
      <c r="BG63" s="35"/>
      <c r="BH63" s="35"/>
      <c r="BI63" s="35"/>
      <c r="BJ63" s="37">
        <f t="shared" si="89"/>
        <v>22400</v>
      </c>
      <c r="BK63" s="37">
        <f t="shared" si="90"/>
        <v>268800</v>
      </c>
    </row>
    <row r="64" spans="1:65" x14ac:dyDescent="0.35">
      <c r="A64" s="34" t="s">
        <v>4</v>
      </c>
      <c r="B64" s="34" t="s">
        <v>27</v>
      </c>
      <c r="C64" s="35">
        <v>5600</v>
      </c>
      <c r="D64" s="35"/>
      <c r="E64" s="35"/>
      <c r="F64" s="35"/>
      <c r="G64" s="37">
        <f t="shared" si="78"/>
        <v>5600</v>
      </c>
      <c r="H64" s="35">
        <v>5600</v>
      </c>
      <c r="I64" s="35"/>
      <c r="J64" s="35"/>
      <c r="K64" s="35"/>
      <c r="L64" s="37">
        <f t="shared" si="79"/>
        <v>5600</v>
      </c>
      <c r="M64" s="35">
        <v>5600</v>
      </c>
      <c r="N64" s="35"/>
      <c r="O64" s="35"/>
      <c r="P64" s="35"/>
      <c r="Q64" s="37">
        <f t="shared" si="80"/>
        <v>5600</v>
      </c>
      <c r="R64" s="35">
        <v>5600</v>
      </c>
      <c r="S64" s="35"/>
      <c r="T64" s="35"/>
      <c r="U64" s="35"/>
      <c r="V64" s="37">
        <f t="shared" si="81"/>
        <v>5600</v>
      </c>
      <c r="W64" s="35">
        <v>5600</v>
      </c>
      <c r="X64" s="35"/>
      <c r="Y64" s="35"/>
      <c r="Z64" s="35"/>
      <c r="AA64" s="37">
        <f t="shared" si="82"/>
        <v>5600</v>
      </c>
      <c r="AB64" s="35">
        <v>5600</v>
      </c>
      <c r="AC64" s="35"/>
      <c r="AD64" s="35"/>
      <c r="AE64" s="35"/>
      <c r="AF64" s="37">
        <f t="shared" si="83"/>
        <v>5600</v>
      </c>
      <c r="AG64" s="35">
        <v>5600</v>
      </c>
      <c r="AH64" s="35"/>
      <c r="AI64" s="35"/>
      <c r="AJ64" s="35"/>
      <c r="AK64" s="37">
        <f t="shared" si="84"/>
        <v>5600</v>
      </c>
      <c r="AL64" s="35">
        <v>5600</v>
      </c>
      <c r="AM64" s="35"/>
      <c r="AN64" s="35"/>
      <c r="AO64" s="35"/>
      <c r="AP64" s="37">
        <f t="shared" si="85"/>
        <v>5600</v>
      </c>
      <c r="AQ64" s="35">
        <v>5600</v>
      </c>
      <c r="AR64" s="35"/>
      <c r="AS64" s="35"/>
      <c r="AT64" s="35"/>
      <c r="AU64" s="37">
        <f t="shared" si="86"/>
        <v>5600</v>
      </c>
      <c r="AV64" s="35">
        <v>5600</v>
      </c>
      <c r="AW64" s="35"/>
      <c r="AX64" s="35"/>
      <c r="AY64" s="35"/>
      <c r="AZ64" s="37">
        <f t="shared" si="87"/>
        <v>5600</v>
      </c>
      <c r="BA64" s="35">
        <v>5600</v>
      </c>
      <c r="BB64" s="35"/>
      <c r="BC64" s="35"/>
      <c r="BD64" s="35"/>
      <c r="BE64" s="37">
        <f t="shared" si="88"/>
        <v>5600</v>
      </c>
      <c r="BF64" s="35">
        <v>5600</v>
      </c>
      <c r="BG64" s="35"/>
      <c r="BH64" s="35"/>
      <c r="BI64" s="35"/>
      <c r="BJ64" s="37">
        <f t="shared" si="89"/>
        <v>5600</v>
      </c>
      <c r="BK64" s="37">
        <f t="shared" si="90"/>
        <v>67200</v>
      </c>
    </row>
    <row r="65" spans="1:65" x14ac:dyDescent="0.35">
      <c r="A65" s="34" t="s">
        <v>4</v>
      </c>
      <c r="B65" s="34" t="s">
        <v>104</v>
      </c>
      <c r="C65" s="35"/>
      <c r="D65" s="35">
        <f>5600*2+5600+5600</f>
        <v>22400</v>
      </c>
      <c r="E65" s="35"/>
      <c r="F65" s="35"/>
      <c r="G65" s="37">
        <f t="shared" si="78"/>
        <v>22400</v>
      </c>
      <c r="H65" s="35"/>
      <c r="I65" s="35">
        <f>5600*2+5600+5600</f>
        <v>22400</v>
      </c>
      <c r="J65" s="35"/>
      <c r="K65" s="35"/>
      <c r="L65" s="37">
        <f t="shared" si="79"/>
        <v>22400</v>
      </c>
      <c r="M65" s="35"/>
      <c r="N65" s="35">
        <f>5600*2+5600+5600</f>
        <v>22400</v>
      </c>
      <c r="O65" s="35"/>
      <c r="P65" s="35"/>
      <c r="Q65" s="37">
        <f t="shared" si="80"/>
        <v>22400</v>
      </c>
      <c r="R65" s="35"/>
      <c r="S65" s="35">
        <f>5600*4</f>
        <v>22400</v>
      </c>
      <c r="T65" s="35"/>
      <c r="U65" s="35"/>
      <c r="V65" s="37">
        <f t="shared" si="81"/>
        <v>22400</v>
      </c>
      <c r="W65" s="35"/>
      <c r="X65" s="35">
        <f>33600+5600*4</f>
        <v>56000</v>
      </c>
      <c r="Y65" s="35"/>
      <c r="Z65" s="35"/>
      <c r="AA65" s="37">
        <f t="shared" si="82"/>
        <v>56000</v>
      </c>
      <c r="AB65" s="35"/>
      <c r="AC65" s="35">
        <f>5600*4</f>
        <v>22400</v>
      </c>
      <c r="AD65" s="35"/>
      <c r="AE65" s="35"/>
      <c r="AF65" s="37">
        <f t="shared" si="83"/>
        <v>22400</v>
      </c>
      <c r="AG65" s="35"/>
      <c r="AH65" s="35">
        <f>5600*5</f>
        <v>28000</v>
      </c>
      <c r="AI65" s="35"/>
      <c r="AJ65" s="35"/>
      <c r="AK65" s="37">
        <f t="shared" si="84"/>
        <v>28000</v>
      </c>
      <c r="AL65" s="35"/>
      <c r="AM65" s="35">
        <f>5600*5</f>
        <v>28000</v>
      </c>
      <c r="AN65" s="35"/>
      <c r="AO65" s="35"/>
      <c r="AP65" s="37">
        <f t="shared" si="85"/>
        <v>28000</v>
      </c>
      <c r="AQ65" s="35"/>
      <c r="AR65" s="35">
        <f>5600*5</f>
        <v>28000</v>
      </c>
      <c r="AS65" s="35"/>
      <c r="AT65" s="35"/>
      <c r="AU65" s="37">
        <f t="shared" si="86"/>
        <v>28000</v>
      </c>
      <c r="AV65" s="35"/>
      <c r="AW65" s="35">
        <f>5600*5</f>
        <v>28000</v>
      </c>
      <c r="AX65" s="35"/>
      <c r="AY65" s="35"/>
      <c r="AZ65" s="37">
        <f t="shared" si="87"/>
        <v>28000</v>
      </c>
      <c r="BA65" s="35"/>
      <c r="BB65" s="35">
        <f>5600*5</f>
        <v>28000</v>
      </c>
      <c r="BC65" s="35"/>
      <c r="BD65" s="35"/>
      <c r="BE65" s="37">
        <f t="shared" si="88"/>
        <v>28000</v>
      </c>
      <c r="BF65" s="35"/>
      <c r="BG65" s="35">
        <f>5600*5</f>
        <v>28000</v>
      </c>
      <c r="BH65" s="35"/>
      <c r="BI65" s="35"/>
      <c r="BJ65" s="37">
        <f t="shared" si="89"/>
        <v>28000</v>
      </c>
      <c r="BK65" s="37">
        <f t="shared" si="90"/>
        <v>336000</v>
      </c>
    </row>
    <row r="66" spans="1:65" x14ac:dyDescent="0.35">
      <c r="A66" s="34"/>
      <c r="B66" s="34"/>
      <c r="C66" s="35"/>
      <c r="D66" s="35"/>
      <c r="E66" s="35"/>
      <c r="F66" s="35"/>
      <c r="G66" s="37">
        <f t="shared" si="78"/>
        <v>0</v>
      </c>
      <c r="H66" s="35"/>
      <c r="I66" s="35"/>
      <c r="J66" s="35"/>
      <c r="K66" s="35"/>
      <c r="L66" s="37">
        <f t="shared" si="79"/>
        <v>0</v>
      </c>
      <c r="M66" s="35"/>
      <c r="N66" s="35"/>
      <c r="O66" s="35"/>
      <c r="P66" s="35"/>
      <c r="Q66" s="37">
        <f t="shared" si="80"/>
        <v>0</v>
      </c>
      <c r="R66" s="35"/>
      <c r="S66" s="35"/>
      <c r="T66" s="35"/>
      <c r="U66" s="35"/>
      <c r="V66" s="37">
        <f t="shared" si="81"/>
        <v>0</v>
      </c>
      <c r="W66" s="35"/>
      <c r="X66" s="35"/>
      <c r="Y66" s="35"/>
      <c r="Z66" s="35"/>
      <c r="AA66" s="37">
        <f t="shared" si="82"/>
        <v>0</v>
      </c>
      <c r="AB66" s="35"/>
      <c r="AC66" s="35"/>
      <c r="AD66" s="35"/>
      <c r="AE66" s="35"/>
      <c r="AF66" s="37">
        <f t="shared" si="83"/>
        <v>0</v>
      </c>
      <c r="AG66" s="35"/>
      <c r="AH66" s="35"/>
      <c r="AI66" s="35"/>
      <c r="AJ66" s="35"/>
      <c r="AK66" s="37">
        <f t="shared" si="84"/>
        <v>0</v>
      </c>
      <c r="AL66" s="35"/>
      <c r="AM66" s="35"/>
      <c r="AN66" s="35"/>
      <c r="AO66" s="35"/>
      <c r="AP66" s="37">
        <f t="shared" si="85"/>
        <v>0</v>
      </c>
      <c r="AQ66" s="35"/>
      <c r="AR66" s="35"/>
      <c r="AS66" s="35"/>
      <c r="AT66" s="35"/>
      <c r="AU66" s="37">
        <f t="shared" si="86"/>
        <v>0</v>
      </c>
      <c r="AV66" s="35"/>
      <c r="AW66" s="35"/>
      <c r="AX66" s="35"/>
      <c r="AY66" s="35"/>
      <c r="AZ66" s="37">
        <f t="shared" si="87"/>
        <v>0</v>
      </c>
      <c r="BA66" s="35"/>
      <c r="BB66" s="35"/>
      <c r="BC66" s="35"/>
      <c r="BD66" s="35"/>
      <c r="BE66" s="37">
        <f t="shared" si="88"/>
        <v>0</v>
      </c>
      <c r="BF66" s="35"/>
      <c r="BG66" s="35"/>
      <c r="BH66" s="35"/>
      <c r="BI66" s="35"/>
      <c r="BJ66" s="37">
        <f t="shared" si="89"/>
        <v>0</v>
      </c>
      <c r="BK66" s="37">
        <f t="shared" si="90"/>
        <v>0</v>
      </c>
    </row>
    <row r="67" spans="1:65" ht="21.75" thickBot="1" x14ac:dyDescent="0.4">
      <c r="A67" s="38"/>
      <c r="B67" s="38"/>
      <c r="C67" s="39">
        <f t="shared" ref="C67:U67" si="104">SUM(C58:C66)</f>
        <v>78400</v>
      </c>
      <c r="D67" s="39">
        <f t="shared" si="104"/>
        <v>33600</v>
      </c>
      <c r="E67" s="39">
        <f t="shared" si="104"/>
        <v>0</v>
      </c>
      <c r="F67" s="39">
        <f t="shared" si="104"/>
        <v>0</v>
      </c>
      <c r="G67" s="39">
        <f t="shared" si="104"/>
        <v>112000</v>
      </c>
      <c r="H67" s="39">
        <f t="shared" si="104"/>
        <v>78400</v>
      </c>
      <c r="I67" s="39">
        <f t="shared" si="104"/>
        <v>33600</v>
      </c>
      <c r="J67" s="39">
        <f t="shared" si="104"/>
        <v>0</v>
      </c>
      <c r="K67" s="39">
        <f t="shared" si="104"/>
        <v>0</v>
      </c>
      <c r="L67" s="39">
        <f t="shared" ref="L67" si="105">SUM(L58:L66)</f>
        <v>112000</v>
      </c>
      <c r="M67" s="39">
        <f t="shared" si="104"/>
        <v>78400</v>
      </c>
      <c r="N67" s="39">
        <f t="shared" si="104"/>
        <v>33600</v>
      </c>
      <c r="O67" s="39">
        <f t="shared" si="104"/>
        <v>0</v>
      </c>
      <c r="P67" s="39">
        <f t="shared" si="104"/>
        <v>0</v>
      </c>
      <c r="Q67" s="39">
        <f t="shared" ref="Q67" si="106">SUM(Q58:Q66)</f>
        <v>112000</v>
      </c>
      <c r="R67" s="39">
        <f t="shared" si="104"/>
        <v>78400</v>
      </c>
      <c r="S67" s="39">
        <f t="shared" si="104"/>
        <v>33600</v>
      </c>
      <c r="T67" s="39">
        <f t="shared" si="104"/>
        <v>0</v>
      </c>
      <c r="U67" s="39">
        <f t="shared" si="104"/>
        <v>0</v>
      </c>
      <c r="V67" s="39">
        <f t="shared" ref="V67" si="107">SUM(V58:V66)</f>
        <v>112000</v>
      </c>
      <c r="W67" s="39">
        <f>SUM(W58:W66)</f>
        <v>78400</v>
      </c>
      <c r="X67" s="39">
        <f>SUM(X58:X66)</f>
        <v>67200</v>
      </c>
      <c r="Y67" s="39">
        <f t="shared" ref="Y67:BK67" si="108">SUM(Y58:Y66)</f>
        <v>0</v>
      </c>
      <c r="Z67" s="39">
        <f t="shared" si="108"/>
        <v>0</v>
      </c>
      <c r="AA67" s="39">
        <f t="shared" si="108"/>
        <v>145600</v>
      </c>
      <c r="AB67" s="39">
        <f t="shared" si="108"/>
        <v>78400</v>
      </c>
      <c r="AC67" s="39">
        <f t="shared" si="108"/>
        <v>33600</v>
      </c>
      <c r="AD67" s="39">
        <f t="shared" si="108"/>
        <v>0</v>
      </c>
      <c r="AE67" s="39">
        <f t="shared" si="108"/>
        <v>0</v>
      </c>
      <c r="AF67" s="39">
        <f t="shared" si="108"/>
        <v>112000</v>
      </c>
      <c r="AG67" s="39">
        <f t="shared" si="108"/>
        <v>220500</v>
      </c>
      <c r="AH67" s="39">
        <f t="shared" si="108"/>
        <v>39200</v>
      </c>
      <c r="AI67" s="39">
        <f t="shared" si="108"/>
        <v>0</v>
      </c>
      <c r="AJ67" s="39">
        <f t="shared" si="108"/>
        <v>0</v>
      </c>
      <c r="AK67" s="39">
        <f t="shared" si="108"/>
        <v>259700</v>
      </c>
      <c r="AL67" s="39">
        <f t="shared" si="108"/>
        <v>93900</v>
      </c>
      <c r="AM67" s="39">
        <f t="shared" si="108"/>
        <v>39200</v>
      </c>
      <c r="AN67" s="39">
        <f t="shared" si="108"/>
        <v>0</v>
      </c>
      <c r="AO67" s="39">
        <f t="shared" si="108"/>
        <v>0</v>
      </c>
      <c r="AP67" s="39">
        <f t="shared" si="108"/>
        <v>133100</v>
      </c>
      <c r="AQ67" s="39">
        <f t="shared" ref="AQ67:AU67" si="109">SUM(AQ58:AQ66)</f>
        <v>93900</v>
      </c>
      <c r="AR67" s="39">
        <f t="shared" si="109"/>
        <v>39200</v>
      </c>
      <c r="AS67" s="39">
        <f t="shared" si="109"/>
        <v>0</v>
      </c>
      <c r="AT67" s="39">
        <f t="shared" si="109"/>
        <v>0</v>
      </c>
      <c r="AU67" s="39">
        <f t="shared" si="109"/>
        <v>133100</v>
      </c>
      <c r="AV67" s="39">
        <f t="shared" si="108"/>
        <v>93900</v>
      </c>
      <c r="AW67" s="39">
        <f t="shared" si="108"/>
        <v>39200</v>
      </c>
      <c r="AX67" s="39">
        <f t="shared" si="108"/>
        <v>0</v>
      </c>
      <c r="AY67" s="39">
        <f t="shared" si="108"/>
        <v>0</v>
      </c>
      <c r="AZ67" s="39">
        <f t="shared" si="108"/>
        <v>133100</v>
      </c>
      <c r="BA67" s="39">
        <f t="shared" si="108"/>
        <v>93900</v>
      </c>
      <c r="BB67" s="39">
        <f t="shared" si="108"/>
        <v>39200</v>
      </c>
      <c r="BC67" s="39">
        <f t="shared" si="108"/>
        <v>0</v>
      </c>
      <c r="BD67" s="39">
        <f t="shared" si="108"/>
        <v>0</v>
      </c>
      <c r="BE67" s="39">
        <f t="shared" si="108"/>
        <v>133100</v>
      </c>
      <c r="BF67" s="39">
        <f t="shared" si="108"/>
        <v>127313.33</v>
      </c>
      <c r="BG67" s="39">
        <f>SUM(BG58:BG66)</f>
        <v>39200</v>
      </c>
      <c r="BH67" s="39">
        <f t="shared" si="108"/>
        <v>0</v>
      </c>
      <c r="BI67" s="39">
        <f t="shared" si="108"/>
        <v>0</v>
      </c>
      <c r="BJ67" s="39">
        <f t="shared" si="108"/>
        <v>166513.33000000002</v>
      </c>
      <c r="BK67" s="39">
        <f t="shared" si="108"/>
        <v>1664213.33</v>
      </c>
    </row>
    <row r="68" spans="1:65" ht="21.75" thickTop="1" x14ac:dyDescent="0.35">
      <c r="B68" s="1" t="s">
        <v>114</v>
      </c>
      <c r="C68" s="3">
        <v>50400</v>
      </c>
      <c r="D68" s="3">
        <v>11200</v>
      </c>
      <c r="E68" s="3"/>
      <c r="F68" s="3"/>
      <c r="G68" s="52">
        <f t="shared" ref="G68:G71" si="110">SUM(C68:F68)</f>
        <v>61600</v>
      </c>
      <c r="H68" s="3">
        <v>50400</v>
      </c>
      <c r="I68" s="3">
        <v>11200</v>
      </c>
      <c r="J68" s="3"/>
      <c r="K68" s="3"/>
      <c r="L68" s="52">
        <f t="shared" ref="L68:L71" si="111">SUM(H68:K68)</f>
        <v>61600</v>
      </c>
      <c r="M68" s="3">
        <v>50400</v>
      </c>
      <c r="N68" s="3">
        <v>11200</v>
      </c>
      <c r="O68" s="3"/>
      <c r="P68" s="3"/>
      <c r="Q68" s="52">
        <f t="shared" ref="Q68:Q71" si="112">SUM(M68:P68)</f>
        <v>61600</v>
      </c>
      <c r="R68" s="3">
        <v>50400</v>
      </c>
      <c r="S68" s="3">
        <v>11200</v>
      </c>
      <c r="T68" s="3"/>
      <c r="U68" s="3"/>
      <c r="V68" s="52">
        <f t="shared" ref="V68:V71" si="113">SUM(R68:U68)</f>
        <v>61600</v>
      </c>
      <c r="W68" s="3">
        <v>50400</v>
      </c>
      <c r="X68" s="3">
        <v>11200</v>
      </c>
      <c r="Y68" s="3"/>
      <c r="Z68" s="3"/>
      <c r="AA68" s="52">
        <f t="shared" ref="AA68:AA71" si="114">SUM(W68:Z68)</f>
        <v>61600</v>
      </c>
      <c r="AB68" s="3">
        <v>50400</v>
      </c>
      <c r="AC68" s="3">
        <v>11200</v>
      </c>
      <c r="AD68" s="3"/>
      <c r="AE68" s="3"/>
      <c r="AF68" s="52">
        <f t="shared" ref="AF68:AF71" si="115">SUM(AB68:AE68)</f>
        <v>61600</v>
      </c>
      <c r="AG68" s="3">
        <v>65900</v>
      </c>
      <c r="AH68" s="3">
        <v>11200</v>
      </c>
      <c r="AI68" s="3"/>
      <c r="AJ68" s="3"/>
      <c r="AK68" s="52">
        <f t="shared" ref="AK68:AK71" si="116">SUM(AG68:AJ68)</f>
        <v>77100</v>
      </c>
      <c r="AL68" s="3">
        <v>65900</v>
      </c>
      <c r="AM68" s="3">
        <v>11200</v>
      </c>
      <c r="AN68" s="3"/>
      <c r="AO68" s="3"/>
      <c r="AP68" s="52">
        <f t="shared" ref="AP68:AP71" si="117">SUM(AL68:AO68)</f>
        <v>77100</v>
      </c>
      <c r="AQ68" s="3">
        <v>65900</v>
      </c>
      <c r="AR68" s="3">
        <v>11200</v>
      </c>
      <c r="AS68" s="3"/>
      <c r="AT68" s="3"/>
      <c r="AU68" s="52">
        <f t="shared" ref="AU68:AU71" si="118">SUM(AQ68:AT68)</f>
        <v>77100</v>
      </c>
      <c r="AV68" s="67">
        <v>65900</v>
      </c>
      <c r="AW68" s="67">
        <v>11200</v>
      </c>
      <c r="AX68" s="67"/>
      <c r="AY68" s="67"/>
      <c r="AZ68" s="52">
        <f t="shared" ref="AZ68" si="119">SUM(AV68:AY68)</f>
        <v>77100</v>
      </c>
      <c r="BA68" s="67">
        <v>65900</v>
      </c>
      <c r="BB68" s="67">
        <v>11200</v>
      </c>
      <c r="BC68" s="67"/>
      <c r="BD68" s="67"/>
      <c r="BE68" s="52">
        <f t="shared" ref="BE68:BE71" si="120">SUM(BA68:BD68)</f>
        <v>77100</v>
      </c>
      <c r="BF68" s="67">
        <v>71500</v>
      </c>
      <c r="BG68" s="67">
        <v>11200</v>
      </c>
      <c r="BH68" s="67"/>
      <c r="BI68" s="67"/>
      <c r="BJ68" s="52">
        <f t="shared" ref="BJ68:BJ71" si="121">SUM(BF68:BI68)</f>
        <v>82700</v>
      </c>
      <c r="BK68" s="37">
        <f>+G68+L68+Q68+V68+AA68+AF68+AK68+AP68+AU68+AZ68+BE68+BJ68</f>
        <v>837800</v>
      </c>
    </row>
    <row r="69" spans="1:65" x14ac:dyDescent="0.35">
      <c r="B69" s="1" t="s">
        <v>297</v>
      </c>
      <c r="C69" s="71"/>
      <c r="D69" s="71"/>
      <c r="E69" s="71"/>
      <c r="F69" s="71"/>
      <c r="G69" s="72">
        <f t="shared" si="110"/>
        <v>0</v>
      </c>
      <c r="H69" s="71"/>
      <c r="I69" s="71"/>
      <c r="J69" s="71"/>
      <c r="K69" s="71"/>
      <c r="L69" s="72">
        <f t="shared" si="111"/>
        <v>0</v>
      </c>
      <c r="M69" s="71"/>
      <c r="N69" s="71"/>
      <c r="O69" s="71"/>
      <c r="P69" s="71"/>
      <c r="Q69" s="72">
        <f t="shared" si="112"/>
        <v>0</v>
      </c>
      <c r="R69" s="71"/>
      <c r="S69" s="71"/>
      <c r="T69" s="71"/>
      <c r="U69" s="71"/>
      <c r="V69" s="72">
        <f t="shared" si="113"/>
        <v>0</v>
      </c>
      <c r="W69" s="71"/>
      <c r="X69" s="71"/>
      <c r="Y69" s="71"/>
      <c r="Z69" s="71"/>
      <c r="AA69" s="72">
        <f t="shared" si="114"/>
        <v>0</v>
      </c>
      <c r="AB69" s="71"/>
      <c r="AC69" s="71"/>
      <c r="AD69" s="71"/>
      <c r="AE69" s="71"/>
      <c r="AF69" s="72">
        <f t="shared" si="115"/>
        <v>0</v>
      </c>
      <c r="AG69" s="73">
        <v>126600</v>
      </c>
      <c r="AH69" s="71"/>
      <c r="AI69" s="71"/>
      <c r="AJ69" s="71"/>
      <c r="AK69" s="72">
        <f t="shared" si="116"/>
        <v>126600</v>
      </c>
      <c r="AL69" s="71"/>
      <c r="AM69" s="71"/>
      <c r="AN69" s="71"/>
      <c r="AO69" s="71"/>
      <c r="AP69" s="72">
        <f t="shared" si="117"/>
        <v>0</v>
      </c>
      <c r="AQ69" s="71"/>
      <c r="AR69" s="71"/>
      <c r="AS69" s="71"/>
      <c r="AT69" s="71"/>
      <c r="AU69" s="72">
        <f t="shared" si="118"/>
        <v>0</v>
      </c>
      <c r="AV69" s="71"/>
      <c r="AW69" s="71"/>
      <c r="AX69" s="71"/>
      <c r="AY69" s="71"/>
      <c r="AZ69" s="72">
        <f t="shared" ref="AZ69:AZ71" si="122">SUM(AV69:AY69)</f>
        <v>0</v>
      </c>
      <c r="BA69" s="71"/>
      <c r="BB69" s="71"/>
      <c r="BC69" s="71"/>
      <c r="BD69" s="71"/>
      <c r="BE69" s="72">
        <f t="shared" si="120"/>
        <v>0</v>
      </c>
      <c r="BF69" s="74">
        <v>27813.33</v>
      </c>
      <c r="BG69" s="74"/>
      <c r="BH69" s="74"/>
      <c r="BI69" s="74"/>
      <c r="BJ69" s="72">
        <f t="shared" si="121"/>
        <v>27813.33</v>
      </c>
      <c r="BK69" s="37">
        <f>+G69+L69+Q69+V69+AA69+AF69+AK69+AP69+AU69+AZ69+BE69+BJ69</f>
        <v>154413.33000000002</v>
      </c>
      <c r="BL69" s="28">
        <f>+BK68+BK69</f>
        <v>992213.33000000007</v>
      </c>
    </row>
    <row r="70" spans="1:65" x14ac:dyDescent="0.35">
      <c r="B70" s="1" t="s">
        <v>302</v>
      </c>
      <c r="C70" s="3">
        <f>22400+5600</f>
        <v>28000</v>
      </c>
      <c r="D70" s="3">
        <f>11200+5600+5600</f>
        <v>22400</v>
      </c>
      <c r="E70" s="3"/>
      <c r="F70" s="3"/>
      <c r="G70" s="52">
        <f>SUM(C70:F70)</f>
        <v>50400</v>
      </c>
      <c r="H70" s="3">
        <f>22400+5600</f>
        <v>28000</v>
      </c>
      <c r="I70" s="3">
        <f>11200+5600+5600</f>
        <v>22400</v>
      </c>
      <c r="J70" s="3"/>
      <c r="K70" s="3"/>
      <c r="L70" s="52">
        <f>SUM(H70:K70)</f>
        <v>50400</v>
      </c>
      <c r="M70" s="3">
        <f>22400+5600</f>
        <v>28000</v>
      </c>
      <c r="N70" s="3">
        <f>11200+5600+5600</f>
        <v>22400</v>
      </c>
      <c r="O70" s="3"/>
      <c r="P70" s="3"/>
      <c r="Q70" s="52">
        <f>SUM(M70:P70)</f>
        <v>50400</v>
      </c>
      <c r="R70" s="3">
        <v>28000</v>
      </c>
      <c r="S70" s="3">
        <v>22400</v>
      </c>
      <c r="T70" s="3"/>
      <c r="U70" s="3"/>
      <c r="V70" s="52">
        <f>SUM(R70:U70)</f>
        <v>50400</v>
      </c>
      <c r="W70" s="3">
        <v>28000</v>
      </c>
      <c r="X70" s="3">
        <f>33600+22400</f>
        <v>56000</v>
      </c>
      <c r="Y70" s="3"/>
      <c r="Z70" s="3"/>
      <c r="AA70" s="52">
        <f>SUM(W70:Z70)</f>
        <v>84000</v>
      </c>
      <c r="AB70" s="3">
        <v>28000</v>
      </c>
      <c r="AC70" s="3">
        <v>22400</v>
      </c>
      <c r="AD70" s="3"/>
      <c r="AE70" s="3"/>
      <c r="AF70" s="52">
        <f>SUM(AB70:AE70)</f>
        <v>50400</v>
      </c>
      <c r="AG70" s="3">
        <v>28000</v>
      </c>
      <c r="AH70" s="3">
        <v>28000</v>
      </c>
      <c r="AI70" s="3"/>
      <c r="AJ70" s="3"/>
      <c r="AK70" s="52">
        <f>SUM(AG70:AJ70)</f>
        <v>56000</v>
      </c>
      <c r="AL70" s="3">
        <v>28000</v>
      </c>
      <c r="AM70" s="3">
        <v>28000</v>
      </c>
      <c r="AN70" s="3"/>
      <c r="AO70" s="3"/>
      <c r="AP70" s="52">
        <f>SUM(AL70:AO70)</f>
        <v>56000</v>
      </c>
      <c r="AQ70" s="3">
        <v>28000</v>
      </c>
      <c r="AR70" s="3">
        <v>28000</v>
      </c>
      <c r="AS70" s="3"/>
      <c r="AT70" s="3"/>
      <c r="AU70" s="52">
        <f>SUM(AQ70:AT70)</f>
        <v>56000</v>
      </c>
      <c r="AV70" s="3">
        <v>28000</v>
      </c>
      <c r="AW70" s="3">
        <v>28000</v>
      </c>
      <c r="AX70" s="3"/>
      <c r="AY70" s="3"/>
      <c r="AZ70" s="52">
        <f>SUM(AV70:AY70)</f>
        <v>56000</v>
      </c>
      <c r="BA70" s="3">
        <v>28000</v>
      </c>
      <c r="BB70" s="3">
        <v>28000</v>
      </c>
      <c r="BC70" s="3"/>
      <c r="BD70" s="3"/>
      <c r="BE70" s="52">
        <f>SUM(BA70:BD70)</f>
        <v>56000</v>
      </c>
      <c r="BF70" s="3">
        <v>28000</v>
      </c>
      <c r="BG70" s="3">
        <v>28000</v>
      </c>
      <c r="BH70" s="67"/>
      <c r="BI70" s="67"/>
      <c r="BJ70" s="52">
        <f>SUM(BF70:BI70)</f>
        <v>56000</v>
      </c>
      <c r="BK70" s="37">
        <f>+G70+L70+Q70+V70+AA70+AF70+AK70+AP70+AU70+AZ70+BE70+BJ70</f>
        <v>672000</v>
      </c>
    </row>
    <row r="71" spans="1:65" x14ac:dyDescent="0.35">
      <c r="B71" s="1" t="s">
        <v>298</v>
      </c>
      <c r="D71" s="3"/>
      <c r="G71" s="52">
        <f t="shared" si="110"/>
        <v>0</v>
      </c>
      <c r="I71" s="3"/>
      <c r="L71" s="52">
        <f t="shared" si="111"/>
        <v>0</v>
      </c>
      <c r="N71" s="3"/>
      <c r="Q71" s="52">
        <f t="shared" si="112"/>
        <v>0</v>
      </c>
      <c r="S71" s="3"/>
      <c r="V71" s="52">
        <f t="shared" si="113"/>
        <v>0</v>
      </c>
      <c r="X71" s="3"/>
      <c r="AA71" s="52">
        <f t="shared" si="114"/>
        <v>0</v>
      </c>
      <c r="AC71" s="3"/>
      <c r="AF71" s="52">
        <f t="shared" si="115"/>
        <v>0</v>
      </c>
      <c r="AG71" s="3"/>
      <c r="AH71" s="3"/>
      <c r="AK71" s="52">
        <f t="shared" si="116"/>
        <v>0</v>
      </c>
      <c r="AP71" s="52">
        <f t="shared" si="117"/>
        <v>0</v>
      </c>
      <c r="AU71" s="52">
        <f t="shared" si="118"/>
        <v>0</v>
      </c>
      <c r="AZ71" s="52">
        <f t="shared" si="122"/>
        <v>0</v>
      </c>
      <c r="BE71" s="52">
        <f t="shared" si="120"/>
        <v>0</v>
      </c>
      <c r="BF71" s="3"/>
      <c r="BG71" s="3"/>
      <c r="BH71" s="3"/>
      <c r="BI71" s="3"/>
      <c r="BJ71" s="52">
        <f t="shared" si="121"/>
        <v>0</v>
      </c>
      <c r="BK71" s="37">
        <f>+G71+L71+Q71+V71+AA71+AF71+AK71+AP71+AU71+AZ71+BE71+BJ71</f>
        <v>0</v>
      </c>
      <c r="BL71" s="69">
        <f>+BK70+BK71</f>
        <v>672000</v>
      </c>
      <c r="BM71" s="3" t="s">
        <v>236</v>
      </c>
    </row>
    <row r="72" spans="1:65" x14ac:dyDescent="0.35">
      <c r="B72" s="53" t="s">
        <v>115</v>
      </c>
      <c r="C72" s="68">
        <f>+C68+C69+C70+C71</f>
        <v>78400</v>
      </c>
      <c r="D72" s="68">
        <f>+D68+D69+D70+D71</f>
        <v>33600</v>
      </c>
      <c r="E72" s="68">
        <f>+E68+E69+E70+E71</f>
        <v>0</v>
      </c>
      <c r="F72" s="68">
        <f>+F68+F69+F70+F71</f>
        <v>0</v>
      </c>
      <c r="G72" s="52">
        <f>SUM(C72:F72)</f>
        <v>112000</v>
      </c>
      <c r="H72" s="68">
        <f>+H68+H69+H70+H71</f>
        <v>78400</v>
      </c>
      <c r="I72" s="68">
        <f>+I68+I69+I70+I71</f>
        <v>33600</v>
      </c>
      <c r="J72" s="68">
        <f>+J68+J69+J70+J71</f>
        <v>0</v>
      </c>
      <c r="K72" s="68">
        <f>+K68+K69+K70+K71</f>
        <v>0</v>
      </c>
      <c r="L72" s="52">
        <f>SUM(H72:K72)</f>
        <v>112000</v>
      </c>
      <c r="M72" s="68">
        <f>+M68+M69+M70+M71</f>
        <v>78400</v>
      </c>
      <c r="N72" s="68">
        <f>+N68+N69+N70+N71</f>
        <v>33600</v>
      </c>
      <c r="O72" s="68">
        <f>+O68+O69+O70+O71</f>
        <v>0</v>
      </c>
      <c r="P72" s="68">
        <f>+P68+P69+P70+P71</f>
        <v>0</v>
      </c>
      <c r="Q72" s="52">
        <f>SUM(M72:P72)</f>
        <v>112000</v>
      </c>
      <c r="R72" s="68">
        <f>+R68+R69+R70+R71</f>
        <v>78400</v>
      </c>
      <c r="S72" s="68">
        <f>+S68+S69+S70+S71</f>
        <v>33600</v>
      </c>
      <c r="T72" s="68">
        <f>+T68+T69+T70+T71</f>
        <v>0</v>
      </c>
      <c r="U72" s="68">
        <f>+U68+U69+U70+U71</f>
        <v>0</v>
      </c>
      <c r="V72" s="52">
        <f>SUM(R72:U72)</f>
        <v>112000</v>
      </c>
      <c r="W72" s="68">
        <f>+W68+W69+W70+W71</f>
        <v>78400</v>
      </c>
      <c r="X72" s="68">
        <f>+X68+X69+X70+X71</f>
        <v>67200</v>
      </c>
      <c r="Y72" s="68">
        <f>+Y68+Y69+Y70+Y71</f>
        <v>0</v>
      </c>
      <c r="Z72" s="68">
        <f>+Z68+Z69+Z70+Z71</f>
        <v>0</v>
      </c>
      <c r="AA72" s="52">
        <f>SUM(W72:Z72)</f>
        <v>145600</v>
      </c>
      <c r="AB72" s="68">
        <f>+AB68+AB69+AB70+AB71</f>
        <v>78400</v>
      </c>
      <c r="AC72" s="68">
        <f>+AC68+AC69+AC70+AC71</f>
        <v>33600</v>
      </c>
      <c r="AD72" s="68">
        <f>+AD68+AD69+AD70+AD71</f>
        <v>0</v>
      </c>
      <c r="AE72" s="68">
        <f>+AE68+AE69+AE70+AE71</f>
        <v>0</v>
      </c>
      <c r="AF72" s="52">
        <f>SUM(AB72:AE72)</f>
        <v>112000</v>
      </c>
      <c r="AG72" s="68">
        <f>+AG68+AG69+AG70+AG71</f>
        <v>220500</v>
      </c>
      <c r="AH72" s="68">
        <f>+AH68+AH69+AH70+AH71</f>
        <v>39200</v>
      </c>
      <c r="AI72" s="68">
        <f>+AI68+AI69+AI70+AI71</f>
        <v>0</v>
      </c>
      <c r="AJ72" s="68">
        <f>+AJ68+AJ69+AJ70+AJ71</f>
        <v>0</v>
      </c>
      <c r="AK72" s="52">
        <f>SUM(AG72:AJ72)</f>
        <v>259700</v>
      </c>
      <c r="AL72" s="68">
        <f>+AL68+AL69+AL70+AL71</f>
        <v>93900</v>
      </c>
      <c r="AM72" s="68">
        <f>+AM68+AM69+AM70+AM71</f>
        <v>39200</v>
      </c>
      <c r="AN72" s="68">
        <f>+AN68+AN69+AN70+AN71</f>
        <v>0</v>
      </c>
      <c r="AO72" s="68">
        <f>+AO68+AO69+AO70+AO71</f>
        <v>0</v>
      </c>
      <c r="AP72" s="52">
        <f>SUM(AL72:AO72)</f>
        <v>133100</v>
      </c>
      <c r="AQ72" s="68">
        <f>+AQ68+AQ69+AQ70+AQ71</f>
        <v>93900</v>
      </c>
      <c r="AR72" s="68">
        <f>+AR68+AR69+AR70+AR71</f>
        <v>39200</v>
      </c>
      <c r="AS72" s="68">
        <f>+AS68+AS69+AS70+AS71</f>
        <v>0</v>
      </c>
      <c r="AT72" s="68">
        <f>+AT68+AT69+AT70+AT71</f>
        <v>0</v>
      </c>
      <c r="AU72" s="52">
        <f>SUM(AQ72:AT72)</f>
        <v>133100</v>
      </c>
      <c r="AV72" s="68">
        <f>+AV68+AV69+AV70+AV71</f>
        <v>93900</v>
      </c>
      <c r="AW72" s="68">
        <f>+AW68+AW69+AW70+AW71</f>
        <v>39200</v>
      </c>
      <c r="AX72" s="68">
        <f>+AX68+AX69+AX70+AX71</f>
        <v>0</v>
      </c>
      <c r="AY72" s="68">
        <f>+AY68+AY69+AY70+AY71</f>
        <v>0</v>
      </c>
      <c r="AZ72" s="52">
        <f>SUM(AV72:AY72)</f>
        <v>133100</v>
      </c>
      <c r="BA72" s="68">
        <f>+BA68+BA69+BA70+BA71</f>
        <v>93900</v>
      </c>
      <c r="BB72" s="68">
        <f>+BB68+BB69+BB70+BB71</f>
        <v>39200</v>
      </c>
      <c r="BC72" s="68">
        <f>+BC68+BC69+BC70+BC71</f>
        <v>0</v>
      </c>
      <c r="BD72" s="68">
        <f>+BD68+BD69+BD70+BD71</f>
        <v>0</v>
      </c>
      <c r="BE72" s="52">
        <f>SUM(BA72:BD72)</f>
        <v>133100</v>
      </c>
      <c r="BF72" s="68">
        <f>+BF68+BF69+BF70+BF71</f>
        <v>127313.33</v>
      </c>
      <c r="BG72" s="68">
        <f>+BG68+BG69+BG70+BG71</f>
        <v>39200</v>
      </c>
      <c r="BH72" s="68">
        <f>+BH68+BH69+BH70+BH71</f>
        <v>0</v>
      </c>
      <c r="BI72" s="68">
        <f>+BI68+BI69+BI70+BI71</f>
        <v>0</v>
      </c>
      <c r="BJ72" s="52">
        <f>SUM(BF72:BI72)</f>
        <v>166513.33000000002</v>
      </c>
      <c r="BK72" s="37">
        <f>+G72+L72+Q72+V72+AA72+AF72+AK72+AP72+AU72+AZ72+BE72+BJ72</f>
        <v>1664213.33</v>
      </c>
      <c r="BL72" s="28">
        <f>+BK67-BK72</f>
        <v>0</v>
      </c>
    </row>
    <row r="73" spans="1:65" x14ac:dyDescent="0.35">
      <c r="G73" s="69">
        <f>+G67-G72</f>
        <v>0</v>
      </c>
      <c r="L73" s="69">
        <f>+L67-L72</f>
        <v>0</v>
      </c>
      <c r="Q73" s="69">
        <f>+Q67-Q72</f>
        <v>0</v>
      </c>
      <c r="V73" s="69">
        <f>+V67-V72</f>
        <v>0</v>
      </c>
      <c r="AA73" s="69">
        <f>+AA67-AA72</f>
        <v>0</v>
      </c>
      <c r="AF73" s="69">
        <f>+AF67-AF72</f>
        <v>0</v>
      </c>
      <c r="AK73" s="69">
        <f>+AK67-AK72</f>
        <v>0</v>
      </c>
      <c r="AP73" s="69">
        <f>+AP67-AP72</f>
        <v>0</v>
      </c>
      <c r="AU73" s="69">
        <f>+AU67-AU72</f>
        <v>0</v>
      </c>
      <c r="AZ73" s="69">
        <f>+AZ67-AZ72</f>
        <v>0</v>
      </c>
      <c r="BE73" s="69">
        <f>+BE67-BE72</f>
        <v>0</v>
      </c>
      <c r="BG73" s="3"/>
      <c r="BJ73" s="69">
        <f>+BJ67-BJ72</f>
        <v>0</v>
      </c>
      <c r="BK73" s="28">
        <f>+BK67-BK68-BK69</f>
        <v>672000</v>
      </c>
      <c r="BM73" s="3" t="s">
        <v>236</v>
      </c>
    </row>
    <row r="74" spans="1:65" x14ac:dyDescent="0.35">
      <c r="C74" s="1" t="s">
        <v>327</v>
      </c>
      <c r="W74" s="1" t="s">
        <v>331</v>
      </c>
      <c r="AG74" s="1" t="s">
        <v>324</v>
      </c>
      <c r="BF74" s="1" t="s">
        <v>306</v>
      </c>
    </row>
    <row r="75" spans="1:65" x14ac:dyDescent="0.35">
      <c r="C75" s="1" t="s">
        <v>326</v>
      </c>
    </row>
  </sheetData>
  <mergeCells count="26">
    <mergeCell ref="C1:G1"/>
    <mergeCell ref="H1:L1"/>
    <mergeCell ref="M1:Q1"/>
    <mergeCell ref="R1:V1"/>
    <mergeCell ref="W1:AA1"/>
    <mergeCell ref="AQ1:AU1"/>
    <mergeCell ref="AV1:AZ1"/>
    <mergeCell ref="BK1:BK2"/>
    <mergeCell ref="BK56:BK57"/>
    <mergeCell ref="BA1:BE1"/>
    <mergeCell ref="BF1:BJ1"/>
    <mergeCell ref="BA56:BE56"/>
    <mergeCell ref="BF56:BJ56"/>
    <mergeCell ref="AQ56:AU56"/>
    <mergeCell ref="AV56:AZ56"/>
    <mergeCell ref="C56:G56"/>
    <mergeCell ref="H56:L56"/>
    <mergeCell ref="M56:Q56"/>
    <mergeCell ref="R56:V56"/>
    <mergeCell ref="W56:AA56"/>
    <mergeCell ref="AB1:AF1"/>
    <mergeCell ref="AG1:AK1"/>
    <mergeCell ref="AB56:AF56"/>
    <mergeCell ref="AG56:AK56"/>
    <mergeCell ref="AL56:AP56"/>
    <mergeCell ref="AL1:AP1"/>
  </mergeCells>
  <pageMargins left="0.45" right="0.2" top="0.75" bottom="0.75" header="0.3" footer="0.3"/>
  <pageSetup paperSize="9" scale="6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O246"/>
  <sheetViews>
    <sheetView zoomScale="70" zoomScaleNormal="70" workbookViewId="0">
      <pane xSplit="6" ySplit="5" topLeftCell="BY93" activePane="bottomRight" state="frozen"/>
      <selection activeCell="C3" sqref="C3"/>
      <selection pane="topRight" activeCell="C3" sqref="C3"/>
      <selection pane="bottomLeft" activeCell="C3" sqref="C3"/>
      <selection pane="bottomRight" activeCell="C3" sqref="C3"/>
    </sheetView>
  </sheetViews>
  <sheetFormatPr defaultColWidth="9.125" defaultRowHeight="21" x14ac:dyDescent="0.35"/>
  <cols>
    <col min="1" max="1" width="6.25" style="1" customWidth="1"/>
    <col min="2" max="2" width="5.875" style="1" customWidth="1"/>
    <col min="3" max="3" width="6.875" style="1" customWidth="1"/>
    <col min="4" max="4" width="27.75" style="1" customWidth="1"/>
    <col min="5" max="5" width="8.25" style="1" customWidth="1"/>
    <col min="6" max="6" width="6.375" style="1" customWidth="1"/>
    <col min="7" max="7" width="10.25" style="1" customWidth="1"/>
    <col min="8" max="9" width="10.75" style="1" bestFit="1" customWidth="1"/>
    <col min="10" max="10" width="12" style="1" bestFit="1" customWidth="1"/>
    <col min="11" max="12" width="13.375" style="1" customWidth="1"/>
    <col min="13" max="13" width="12.375" style="1" bestFit="1" customWidth="1"/>
    <col min="14" max="14" width="13.875" style="1" bestFit="1" customWidth="1"/>
    <col min="15" max="15" width="13.25" style="1" customWidth="1"/>
    <col min="16" max="16" width="12.375" style="1" bestFit="1" customWidth="1"/>
    <col min="17" max="17" width="13" style="1" customWidth="1"/>
    <col min="18" max="18" width="13.625" style="1" customWidth="1"/>
    <col min="19" max="19" width="12.375" style="1" bestFit="1" customWidth="1"/>
    <col min="20" max="20" width="13.875" style="1" bestFit="1" customWidth="1"/>
    <col min="21" max="21" width="14.875" style="1" bestFit="1" customWidth="1"/>
    <col min="22" max="22" width="11.125" style="1" bestFit="1" customWidth="1"/>
    <col min="23" max="24" width="15.75" style="1" bestFit="1" customWidth="1"/>
    <col min="25" max="25" width="14.875" style="1" bestFit="1" customWidth="1"/>
    <col min="26" max="26" width="12.375" style="1" bestFit="1" customWidth="1"/>
    <col min="27" max="27" width="13.875" style="1" bestFit="1" customWidth="1"/>
    <col min="28" max="28" width="14.875" style="1" bestFit="1" customWidth="1"/>
    <col min="29" max="29" width="12.375" style="1" bestFit="1" customWidth="1"/>
    <col min="30" max="30" width="13.875" style="1" bestFit="1" customWidth="1"/>
    <col min="31" max="31" width="14.875" style="1" bestFit="1" customWidth="1"/>
    <col min="32" max="32" width="12.375" style="1" bestFit="1" customWidth="1"/>
    <col min="33" max="33" width="13.875" style="1" bestFit="1" customWidth="1"/>
    <col min="34" max="34" width="14.875" style="1" bestFit="1" customWidth="1"/>
    <col min="35" max="35" width="11.125" style="1" bestFit="1" customWidth="1"/>
    <col min="36" max="37" width="15.75" style="1" bestFit="1" customWidth="1"/>
    <col min="38" max="38" width="14.875" style="1" bestFit="1" customWidth="1"/>
    <col min="39" max="39" width="12.375" style="1" bestFit="1" customWidth="1"/>
    <col min="40" max="40" width="13.875" style="1" bestFit="1" customWidth="1"/>
    <col min="41" max="41" width="14.875" style="1" bestFit="1" customWidth="1"/>
    <col min="42" max="42" width="12.375" style="1" bestFit="1" customWidth="1"/>
    <col min="43" max="43" width="13.875" style="1" bestFit="1" customWidth="1"/>
    <col min="44" max="44" width="14.875" style="1" bestFit="1" customWidth="1"/>
    <col min="45" max="45" width="12.375" style="1" bestFit="1" customWidth="1"/>
    <col min="46" max="46" width="13.875" style="1" bestFit="1" customWidth="1"/>
    <col min="47" max="47" width="14.875" style="1" bestFit="1" customWidth="1"/>
    <col min="48" max="48" width="11.125" style="1" bestFit="1" customWidth="1"/>
    <col min="49" max="50" width="15.75" style="1" bestFit="1" customWidth="1"/>
    <col min="51" max="51" width="15.125" style="1" bestFit="1" customWidth="1"/>
    <col min="52" max="52" width="15.875" style="1" bestFit="1" customWidth="1"/>
    <col min="53" max="53" width="12.625" style="1" bestFit="1" customWidth="1"/>
    <col min="54" max="54" width="13.375" style="1" bestFit="1" customWidth="1"/>
    <col min="55" max="55" width="15.875" style="1" bestFit="1" customWidth="1"/>
    <col min="56" max="56" width="12.625" style="1" bestFit="1" customWidth="1"/>
    <col min="57" max="57" width="14" style="1" bestFit="1" customWidth="1"/>
    <col min="58" max="58" width="15.875" style="1" bestFit="1" customWidth="1"/>
    <col min="59" max="59" width="12.25" style="1" bestFit="1" customWidth="1"/>
    <col min="60" max="60" width="14" style="1" bestFit="1" customWidth="1"/>
    <col min="61" max="61" width="15.875" style="1" bestFit="1" customWidth="1"/>
    <col min="62" max="62" width="11.25" style="1" bestFit="1" customWidth="1"/>
    <col min="63" max="63" width="15.375" style="1" bestFit="1" customWidth="1"/>
    <col min="64" max="64" width="15.125" style="1" bestFit="1" customWidth="1"/>
    <col min="65" max="65" width="15.875" style="1" bestFit="1" customWidth="1"/>
    <col min="66" max="66" width="12.625" style="1" bestFit="1" customWidth="1"/>
    <col min="67" max="67" width="13.375" style="1" bestFit="1" customWidth="1"/>
    <col min="68" max="68" width="15.875" style="1" bestFit="1" customWidth="1"/>
    <col min="69" max="69" width="12.625" style="1" bestFit="1" customWidth="1"/>
    <col min="70" max="70" width="13.75" style="1" bestFit="1" customWidth="1"/>
    <col min="71" max="71" width="15.875" style="1" bestFit="1" customWidth="1"/>
    <col min="72" max="72" width="12.25" style="1" bestFit="1" customWidth="1"/>
    <col min="73" max="73" width="14" style="1" bestFit="1" customWidth="1"/>
    <col min="74" max="74" width="15.875" style="1" bestFit="1" customWidth="1"/>
    <col min="75" max="75" width="11.25" style="1" bestFit="1" customWidth="1"/>
    <col min="76" max="76" width="15.625" style="1" bestFit="1" customWidth="1"/>
    <col min="77" max="77" width="15.125" style="1" bestFit="1" customWidth="1"/>
    <col min="78" max="78" width="15.875" style="1" bestFit="1" customWidth="1"/>
    <col min="79" max="79" width="12.625" style="1" bestFit="1" customWidth="1"/>
    <col min="80" max="80" width="13.375" style="1" bestFit="1" customWidth="1"/>
    <col min="81" max="81" width="15.875" style="1" bestFit="1" customWidth="1"/>
    <col min="82" max="82" width="12.625" style="1" bestFit="1" customWidth="1"/>
    <col min="83" max="83" width="13.75" style="1" bestFit="1" customWidth="1"/>
    <col min="84" max="84" width="15.875" style="1" bestFit="1" customWidth="1"/>
    <col min="85" max="85" width="12.25" style="1" bestFit="1" customWidth="1"/>
    <col min="86" max="86" width="14" style="1" bestFit="1" customWidth="1"/>
    <col min="87" max="87" width="15.875" style="1" bestFit="1" customWidth="1"/>
    <col min="88" max="88" width="11.25" style="1" bestFit="1" customWidth="1"/>
    <col min="89" max="90" width="15.625" style="1" bestFit="1" customWidth="1"/>
    <col min="91" max="91" width="15.125" style="1" bestFit="1" customWidth="1"/>
    <col min="92" max="92" width="13" style="1" bestFit="1" customWidth="1"/>
    <col min="93" max="93" width="12.25" style="1" bestFit="1" customWidth="1"/>
    <col min="94" max="94" width="13.375" style="1" bestFit="1" customWidth="1"/>
    <col min="95" max="95" width="13" style="1" bestFit="1" customWidth="1"/>
    <col min="96" max="96" width="12.625" style="1" bestFit="1" customWidth="1"/>
    <col min="97" max="97" width="13.75" style="1" bestFit="1" customWidth="1"/>
    <col min="98" max="98" width="13" style="1" bestFit="1" customWidth="1"/>
    <col min="99" max="99" width="12.25" style="1" bestFit="1" customWidth="1"/>
    <col min="100" max="100" width="13.375" style="1" bestFit="1" customWidth="1"/>
    <col min="101" max="101" width="13" style="1" bestFit="1" customWidth="1"/>
    <col min="102" max="102" width="11.25" style="1" bestFit="1" customWidth="1"/>
    <col min="103" max="103" width="15.625" style="1" bestFit="1" customWidth="1"/>
    <col min="104" max="104" width="15.125" style="1" bestFit="1" customWidth="1"/>
    <col min="105" max="105" width="13" style="1" bestFit="1" customWidth="1"/>
    <col min="106" max="106" width="12.25" style="1" bestFit="1" customWidth="1"/>
    <col min="107" max="107" width="13.375" style="1" bestFit="1" customWidth="1"/>
    <col min="108" max="108" width="13" style="1" bestFit="1" customWidth="1"/>
    <col min="109" max="109" width="12.25" style="1" bestFit="1" customWidth="1"/>
    <col min="110" max="110" width="15.125" style="1" bestFit="1" customWidth="1"/>
    <col min="111" max="111" width="13" style="1" bestFit="1" customWidth="1"/>
    <col min="112" max="112" width="12.25" style="1" bestFit="1" customWidth="1"/>
    <col min="113" max="113" width="13.375" style="1" bestFit="1" customWidth="1"/>
    <col min="114" max="114" width="13" style="1" bestFit="1" customWidth="1"/>
    <col min="115" max="115" width="11.25" style="1" bestFit="1" customWidth="1"/>
    <col min="116" max="116" width="15.375" style="1" bestFit="1" customWidth="1"/>
    <col min="117" max="117" width="15.125" style="1" bestFit="1" customWidth="1"/>
    <col min="118" max="118" width="15.875" style="1" bestFit="1" customWidth="1"/>
    <col min="119" max="119" width="12.625" style="1" bestFit="1" customWidth="1"/>
    <col min="120" max="120" width="13.375" style="1" bestFit="1" customWidth="1"/>
    <col min="121" max="121" width="15.875" style="1" bestFit="1" customWidth="1"/>
    <col min="122" max="122" width="12.25" style="1" bestFit="1" customWidth="1"/>
    <col min="123" max="123" width="13.375" style="1" bestFit="1" customWidth="1"/>
    <col min="124" max="124" width="15.875" style="1" bestFit="1" customWidth="1"/>
    <col min="125" max="125" width="12.625" style="1" bestFit="1" customWidth="1"/>
    <col min="126" max="126" width="13.375" style="1" bestFit="1" customWidth="1"/>
    <col min="127" max="127" width="15.875" style="1" bestFit="1" customWidth="1"/>
    <col min="128" max="128" width="11.25" style="1" bestFit="1" customWidth="1"/>
    <col min="129" max="131" width="15.125" style="1" bestFit="1" customWidth="1"/>
    <col min="132" max="132" width="15.875" style="1" bestFit="1" customWidth="1"/>
    <col min="133" max="133" width="12.625" style="1" bestFit="1" customWidth="1"/>
    <col min="134" max="134" width="13.375" style="1" bestFit="1" customWidth="1"/>
    <col min="135" max="135" width="15.875" style="1" bestFit="1" customWidth="1"/>
    <col min="136" max="136" width="12.25" style="1" bestFit="1" customWidth="1"/>
    <col min="137" max="137" width="15.125" style="1" bestFit="1" customWidth="1"/>
    <col min="138" max="138" width="15.875" style="1" bestFit="1" customWidth="1"/>
    <col min="139" max="139" width="12.25" style="1" bestFit="1" customWidth="1"/>
    <col min="140" max="140" width="13.375" style="1" bestFit="1" customWidth="1"/>
    <col min="141" max="141" width="15.875" style="1" bestFit="1" customWidth="1"/>
    <col min="142" max="142" width="11.25" style="1" bestFit="1" customWidth="1"/>
    <col min="143" max="144" width="15.125" style="1" bestFit="1" customWidth="1"/>
    <col min="145" max="145" width="15.875" style="1" bestFit="1" customWidth="1"/>
    <col min="146" max="146" width="12.625" style="1" bestFit="1" customWidth="1"/>
    <col min="147" max="147" width="13.375" style="1" bestFit="1" customWidth="1"/>
    <col min="148" max="148" width="15.875" style="1" bestFit="1" customWidth="1"/>
    <col min="149" max="149" width="12.25" style="1" bestFit="1" customWidth="1"/>
    <col min="150" max="150" width="13.75" style="1" bestFit="1" customWidth="1"/>
    <col min="151" max="151" width="15.875" style="1" bestFit="1" customWidth="1"/>
    <col min="152" max="152" width="12.25" style="1" bestFit="1" customWidth="1"/>
    <col min="153" max="153" width="13.375" style="1" bestFit="1" customWidth="1"/>
    <col min="154" max="154" width="15.875" style="1" bestFit="1" customWidth="1"/>
    <col min="155" max="155" width="11.25" style="1" bestFit="1" customWidth="1"/>
    <col min="156" max="156" width="15.625" style="1" bestFit="1" customWidth="1"/>
    <col min="157" max="157" width="15.125" style="1" bestFit="1" customWidth="1"/>
    <col min="158" max="158" width="15.875" style="1" bestFit="1" customWidth="1"/>
    <col min="159" max="159" width="12.625" style="1" bestFit="1" customWidth="1"/>
    <col min="160" max="160" width="13.375" style="1" bestFit="1" customWidth="1"/>
    <col min="161" max="161" width="15.875" style="1" bestFit="1" customWidth="1"/>
    <col min="162" max="162" width="12.25" style="1" bestFit="1" customWidth="1"/>
    <col min="163" max="163" width="13.75" style="1" bestFit="1" customWidth="1"/>
    <col min="164" max="164" width="15.875" style="1" bestFit="1" customWidth="1"/>
    <col min="165" max="165" width="12.25" style="1" bestFit="1" customWidth="1"/>
    <col min="166" max="166" width="13.375" style="1" bestFit="1" customWidth="1"/>
    <col min="167" max="167" width="15.875" style="1" bestFit="1" customWidth="1"/>
    <col min="168" max="168" width="11.25" style="1" bestFit="1" customWidth="1"/>
    <col min="169" max="169" width="15.625" style="1" bestFit="1" customWidth="1"/>
    <col min="170" max="170" width="15.125" style="1" bestFit="1" customWidth="1"/>
    <col min="171" max="171" width="16.875" style="1" bestFit="1" customWidth="1"/>
    <col min="172" max="16384" width="9.125" style="1"/>
  </cols>
  <sheetData>
    <row r="1" spans="1:171" x14ac:dyDescent="0.35">
      <c r="A1" s="5" t="s">
        <v>112</v>
      </c>
      <c r="B1" s="5"/>
      <c r="C1" s="5"/>
      <c r="D1" s="5"/>
      <c r="E1" s="5"/>
      <c r="F1" s="5"/>
      <c r="G1" s="5"/>
      <c r="H1" s="5"/>
      <c r="I1" s="5"/>
      <c r="J1" s="5"/>
      <c r="K1" s="118" t="s">
        <v>253</v>
      </c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 t="s">
        <v>254</v>
      </c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 t="s">
        <v>255</v>
      </c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56" t="s">
        <v>223</v>
      </c>
      <c r="AY1" s="118" t="s">
        <v>256</v>
      </c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 t="s">
        <v>257</v>
      </c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 t="s">
        <v>258</v>
      </c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56" t="s">
        <v>224</v>
      </c>
      <c r="CM1" s="118" t="s">
        <v>366</v>
      </c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 t="s">
        <v>367</v>
      </c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 t="s">
        <v>368</v>
      </c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56" t="s">
        <v>225</v>
      </c>
      <c r="EA1" s="118" t="s">
        <v>369</v>
      </c>
      <c r="EB1" s="118"/>
      <c r="EC1" s="118"/>
      <c r="ED1" s="118"/>
      <c r="EE1" s="118"/>
      <c r="EF1" s="118"/>
      <c r="EG1" s="118"/>
      <c r="EH1" s="118"/>
      <c r="EI1" s="118"/>
      <c r="EJ1" s="118"/>
      <c r="EK1" s="118"/>
      <c r="EL1" s="118"/>
      <c r="EM1" s="118"/>
      <c r="EN1" s="118" t="s">
        <v>370</v>
      </c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 t="s">
        <v>371</v>
      </c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56" t="s">
        <v>226</v>
      </c>
      <c r="FO1" s="111" t="s">
        <v>228</v>
      </c>
    </row>
    <row r="2" spans="1:171" x14ac:dyDescent="0.35">
      <c r="A2" s="5" t="s">
        <v>103</v>
      </c>
      <c r="B2" s="5" t="s">
        <v>100</v>
      </c>
      <c r="C2" s="5" t="s">
        <v>249</v>
      </c>
      <c r="D2" s="5"/>
      <c r="E2" s="5"/>
      <c r="F2" s="5"/>
      <c r="G2" s="5"/>
      <c r="H2" s="5"/>
      <c r="I2" s="5"/>
      <c r="J2" s="5"/>
      <c r="K2" s="117" t="s">
        <v>17</v>
      </c>
      <c r="L2" s="117"/>
      <c r="M2" s="117"/>
      <c r="N2" s="117"/>
      <c r="O2" s="117"/>
      <c r="P2" s="117"/>
      <c r="Q2" s="117" t="s">
        <v>18</v>
      </c>
      <c r="R2" s="117"/>
      <c r="S2" s="117"/>
      <c r="T2" s="117"/>
      <c r="U2" s="117"/>
      <c r="V2" s="117"/>
      <c r="W2" s="5" t="s">
        <v>16</v>
      </c>
      <c r="X2" s="117" t="s">
        <v>17</v>
      </c>
      <c r="Y2" s="117"/>
      <c r="Z2" s="117"/>
      <c r="AA2" s="117"/>
      <c r="AB2" s="117"/>
      <c r="AC2" s="117"/>
      <c r="AD2" s="117" t="s">
        <v>18</v>
      </c>
      <c r="AE2" s="117"/>
      <c r="AF2" s="117"/>
      <c r="AG2" s="117"/>
      <c r="AH2" s="117"/>
      <c r="AI2" s="117"/>
      <c r="AJ2" s="5" t="s">
        <v>16</v>
      </c>
      <c r="AK2" s="117" t="s">
        <v>17</v>
      </c>
      <c r="AL2" s="117"/>
      <c r="AM2" s="117"/>
      <c r="AN2" s="117"/>
      <c r="AO2" s="117"/>
      <c r="AP2" s="117"/>
      <c r="AQ2" s="117" t="s">
        <v>18</v>
      </c>
      <c r="AR2" s="117"/>
      <c r="AS2" s="117"/>
      <c r="AT2" s="117"/>
      <c r="AU2" s="117"/>
      <c r="AV2" s="117"/>
      <c r="AW2" s="5" t="s">
        <v>16</v>
      </c>
      <c r="AX2" s="5" t="s">
        <v>16</v>
      </c>
      <c r="AY2" s="117" t="s">
        <v>17</v>
      </c>
      <c r="AZ2" s="117"/>
      <c r="BA2" s="117"/>
      <c r="BB2" s="117"/>
      <c r="BC2" s="117"/>
      <c r="BD2" s="117"/>
      <c r="BE2" s="117" t="s">
        <v>18</v>
      </c>
      <c r="BF2" s="117"/>
      <c r="BG2" s="117"/>
      <c r="BH2" s="117"/>
      <c r="BI2" s="117"/>
      <c r="BJ2" s="117"/>
      <c r="BK2" s="5" t="s">
        <v>16</v>
      </c>
      <c r="BL2" s="117" t="s">
        <v>17</v>
      </c>
      <c r="BM2" s="117"/>
      <c r="BN2" s="117"/>
      <c r="BO2" s="117"/>
      <c r="BP2" s="117"/>
      <c r="BQ2" s="117"/>
      <c r="BR2" s="117" t="s">
        <v>18</v>
      </c>
      <c r="BS2" s="117"/>
      <c r="BT2" s="117"/>
      <c r="BU2" s="117"/>
      <c r="BV2" s="117"/>
      <c r="BW2" s="117"/>
      <c r="BX2" s="5" t="s">
        <v>16</v>
      </c>
      <c r="BY2" s="117" t="s">
        <v>17</v>
      </c>
      <c r="BZ2" s="117"/>
      <c r="CA2" s="117"/>
      <c r="CB2" s="117"/>
      <c r="CC2" s="117"/>
      <c r="CD2" s="117"/>
      <c r="CE2" s="117" t="s">
        <v>18</v>
      </c>
      <c r="CF2" s="117"/>
      <c r="CG2" s="117"/>
      <c r="CH2" s="117"/>
      <c r="CI2" s="117"/>
      <c r="CJ2" s="117"/>
      <c r="CK2" s="5" t="s">
        <v>16</v>
      </c>
      <c r="CL2" s="5" t="s">
        <v>16</v>
      </c>
      <c r="CM2" s="117" t="s">
        <v>17</v>
      </c>
      <c r="CN2" s="117"/>
      <c r="CO2" s="117"/>
      <c r="CP2" s="117"/>
      <c r="CQ2" s="117"/>
      <c r="CR2" s="117"/>
      <c r="CS2" s="117" t="s">
        <v>18</v>
      </c>
      <c r="CT2" s="117"/>
      <c r="CU2" s="117"/>
      <c r="CV2" s="117"/>
      <c r="CW2" s="117"/>
      <c r="CX2" s="117"/>
      <c r="CY2" s="5" t="s">
        <v>16</v>
      </c>
      <c r="CZ2" s="117" t="s">
        <v>17</v>
      </c>
      <c r="DA2" s="117"/>
      <c r="DB2" s="117"/>
      <c r="DC2" s="117"/>
      <c r="DD2" s="117"/>
      <c r="DE2" s="117"/>
      <c r="DF2" s="117" t="s">
        <v>18</v>
      </c>
      <c r="DG2" s="117"/>
      <c r="DH2" s="117"/>
      <c r="DI2" s="117"/>
      <c r="DJ2" s="117"/>
      <c r="DK2" s="117"/>
      <c r="DL2" s="5" t="s">
        <v>16</v>
      </c>
      <c r="DM2" s="117" t="s">
        <v>17</v>
      </c>
      <c r="DN2" s="117"/>
      <c r="DO2" s="117"/>
      <c r="DP2" s="117"/>
      <c r="DQ2" s="117"/>
      <c r="DR2" s="117"/>
      <c r="DS2" s="117" t="s">
        <v>18</v>
      </c>
      <c r="DT2" s="117"/>
      <c r="DU2" s="117"/>
      <c r="DV2" s="117"/>
      <c r="DW2" s="117"/>
      <c r="DX2" s="117"/>
      <c r="DY2" s="5" t="s">
        <v>16</v>
      </c>
      <c r="DZ2" s="5" t="s">
        <v>16</v>
      </c>
      <c r="EA2" s="117" t="s">
        <v>17</v>
      </c>
      <c r="EB2" s="117"/>
      <c r="EC2" s="117"/>
      <c r="ED2" s="117"/>
      <c r="EE2" s="117"/>
      <c r="EF2" s="117"/>
      <c r="EG2" s="117" t="s">
        <v>18</v>
      </c>
      <c r="EH2" s="117"/>
      <c r="EI2" s="117"/>
      <c r="EJ2" s="117"/>
      <c r="EK2" s="117"/>
      <c r="EL2" s="117"/>
      <c r="EM2" s="5" t="s">
        <v>16</v>
      </c>
      <c r="EN2" s="117" t="s">
        <v>17</v>
      </c>
      <c r="EO2" s="117"/>
      <c r="EP2" s="117"/>
      <c r="EQ2" s="117"/>
      <c r="ER2" s="117"/>
      <c r="ES2" s="117"/>
      <c r="ET2" s="117" t="s">
        <v>18</v>
      </c>
      <c r="EU2" s="117"/>
      <c r="EV2" s="117"/>
      <c r="EW2" s="117"/>
      <c r="EX2" s="117"/>
      <c r="EY2" s="117"/>
      <c r="EZ2" s="5" t="s">
        <v>16</v>
      </c>
      <c r="FA2" s="117" t="s">
        <v>17</v>
      </c>
      <c r="FB2" s="117"/>
      <c r="FC2" s="117"/>
      <c r="FD2" s="117"/>
      <c r="FE2" s="117"/>
      <c r="FF2" s="117"/>
      <c r="FG2" s="117" t="s">
        <v>18</v>
      </c>
      <c r="FH2" s="117"/>
      <c r="FI2" s="117"/>
      <c r="FJ2" s="117"/>
      <c r="FK2" s="117"/>
      <c r="FL2" s="117"/>
      <c r="FM2" s="5" t="s">
        <v>16</v>
      </c>
      <c r="FN2" s="5" t="s">
        <v>16</v>
      </c>
      <c r="FO2" s="116"/>
    </row>
    <row r="3" spans="1:171" x14ac:dyDescent="0.35">
      <c r="A3" s="5" t="s">
        <v>120</v>
      </c>
      <c r="B3" s="5"/>
      <c r="C3" s="5"/>
      <c r="D3" s="5"/>
      <c r="E3" s="5" t="s">
        <v>14</v>
      </c>
      <c r="F3" s="5" t="s">
        <v>360</v>
      </c>
      <c r="G3" s="5" t="s">
        <v>251</v>
      </c>
      <c r="H3" s="5" t="s">
        <v>17</v>
      </c>
      <c r="I3" s="5" t="s">
        <v>18</v>
      </c>
      <c r="J3" s="5" t="s">
        <v>252</v>
      </c>
      <c r="K3" s="105" t="s">
        <v>8</v>
      </c>
      <c r="L3" s="106"/>
      <c r="M3" s="107"/>
      <c r="N3" s="105" t="s">
        <v>9</v>
      </c>
      <c r="O3" s="106"/>
      <c r="P3" s="107"/>
      <c r="Q3" s="105" t="s">
        <v>8</v>
      </c>
      <c r="R3" s="106"/>
      <c r="S3" s="107"/>
      <c r="T3" s="105" t="s">
        <v>9</v>
      </c>
      <c r="U3" s="106"/>
      <c r="V3" s="107"/>
      <c r="W3" s="5"/>
      <c r="X3" s="105" t="s">
        <v>8</v>
      </c>
      <c r="Y3" s="106"/>
      <c r="Z3" s="107"/>
      <c r="AA3" s="105" t="s">
        <v>9</v>
      </c>
      <c r="AB3" s="106"/>
      <c r="AC3" s="107"/>
      <c r="AD3" s="105" t="s">
        <v>8</v>
      </c>
      <c r="AE3" s="106"/>
      <c r="AF3" s="107"/>
      <c r="AG3" s="105" t="s">
        <v>9</v>
      </c>
      <c r="AH3" s="106"/>
      <c r="AI3" s="107"/>
      <c r="AJ3" s="5"/>
      <c r="AK3" s="105" t="s">
        <v>8</v>
      </c>
      <c r="AL3" s="106"/>
      <c r="AM3" s="107"/>
      <c r="AN3" s="105" t="s">
        <v>9</v>
      </c>
      <c r="AO3" s="106"/>
      <c r="AP3" s="107"/>
      <c r="AQ3" s="105" t="s">
        <v>8</v>
      </c>
      <c r="AR3" s="106"/>
      <c r="AS3" s="107"/>
      <c r="AT3" s="105" t="s">
        <v>9</v>
      </c>
      <c r="AU3" s="106"/>
      <c r="AV3" s="107"/>
      <c r="AW3" s="5"/>
      <c r="AX3" s="5"/>
      <c r="AY3" s="105" t="s">
        <v>8</v>
      </c>
      <c r="AZ3" s="106"/>
      <c r="BA3" s="107"/>
      <c r="BB3" s="105" t="s">
        <v>9</v>
      </c>
      <c r="BC3" s="106"/>
      <c r="BD3" s="107"/>
      <c r="BE3" s="105" t="s">
        <v>8</v>
      </c>
      <c r="BF3" s="106"/>
      <c r="BG3" s="107"/>
      <c r="BH3" s="105" t="s">
        <v>9</v>
      </c>
      <c r="BI3" s="106"/>
      <c r="BJ3" s="107"/>
      <c r="BK3" s="5"/>
      <c r="BL3" s="105" t="s">
        <v>8</v>
      </c>
      <c r="BM3" s="106"/>
      <c r="BN3" s="107"/>
      <c r="BO3" s="105" t="s">
        <v>9</v>
      </c>
      <c r="BP3" s="106"/>
      <c r="BQ3" s="107"/>
      <c r="BR3" s="105" t="s">
        <v>8</v>
      </c>
      <c r="BS3" s="106"/>
      <c r="BT3" s="107"/>
      <c r="BU3" s="105" t="s">
        <v>9</v>
      </c>
      <c r="BV3" s="106"/>
      <c r="BW3" s="107"/>
      <c r="BX3" s="5"/>
      <c r="BY3" s="105" t="s">
        <v>8</v>
      </c>
      <c r="BZ3" s="106"/>
      <c r="CA3" s="107"/>
      <c r="CB3" s="105" t="s">
        <v>9</v>
      </c>
      <c r="CC3" s="106"/>
      <c r="CD3" s="107"/>
      <c r="CE3" s="105" t="s">
        <v>8</v>
      </c>
      <c r="CF3" s="106"/>
      <c r="CG3" s="107"/>
      <c r="CH3" s="105" t="s">
        <v>9</v>
      </c>
      <c r="CI3" s="106"/>
      <c r="CJ3" s="107"/>
      <c r="CK3" s="5"/>
      <c r="CL3" s="5"/>
      <c r="CM3" s="105" t="s">
        <v>8</v>
      </c>
      <c r="CN3" s="106"/>
      <c r="CO3" s="107"/>
      <c r="CP3" s="105" t="s">
        <v>9</v>
      </c>
      <c r="CQ3" s="106"/>
      <c r="CR3" s="107"/>
      <c r="CS3" s="105" t="s">
        <v>8</v>
      </c>
      <c r="CT3" s="106"/>
      <c r="CU3" s="107"/>
      <c r="CV3" s="105" t="s">
        <v>9</v>
      </c>
      <c r="CW3" s="106"/>
      <c r="CX3" s="107"/>
      <c r="CY3" s="5"/>
      <c r="CZ3" s="105" t="s">
        <v>8</v>
      </c>
      <c r="DA3" s="106"/>
      <c r="DB3" s="107"/>
      <c r="DC3" s="105" t="s">
        <v>9</v>
      </c>
      <c r="DD3" s="106"/>
      <c r="DE3" s="107"/>
      <c r="DF3" s="105" t="s">
        <v>8</v>
      </c>
      <c r="DG3" s="106"/>
      <c r="DH3" s="107"/>
      <c r="DI3" s="105" t="s">
        <v>9</v>
      </c>
      <c r="DJ3" s="106"/>
      <c r="DK3" s="107"/>
      <c r="DL3" s="5"/>
      <c r="DM3" s="105" t="s">
        <v>8</v>
      </c>
      <c r="DN3" s="106"/>
      <c r="DO3" s="107"/>
      <c r="DP3" s="105" t="s">
        <v>9</v>
      </c>
      <c r="DQ3" s="106"/>
      <c r="DR3" s="107"/>
      <c r="DS3" s="105" t="s">
        <v>8</v>
      </c>
      <c r="DT3" s="106"/>
      <c r="DU3" s="107"/>
      <c r="DV3" s="105" t="s">
        <v>9</v>
      </c>
      <c r="DW3" s="106"/>
      <c r="DX3" s="107"/>
      <c r="DY3" s="5"/>
      <c r="DZ3" s="5"/>
      <c r="EA3" s="105" t="s">
        <v>8</v>
      </c>
      <c r="EB3" s="106"/>
      <c r="EC3" s="107"/>
      <c r="ED3" s="105" t="s">
        <v>9</v>
      </c>
      <c r="EE3" s="106"/>
      <c r="EF3" s="107"/>
      <c r="EG3" s="105" t="s">
        <v>8</v>
      </c>
      <c r="EH3" s="106"/>
      <c r="EI3" s="107"/>
      <c r="EJ3" s="105" t="s">
        <v>9</v>
      </c>
      <c r="EK3" s="106"/>
      <c r="EL3" s="107"/>
      <c r="EM3" s="5"/>
      <c r="EN3" s="105" t="s">
        <v>8</v>
      </c>
      <c r="EO3" s="106"/>
      <c r="EP3" s="107"/>
      <c r="EQ3" s="105" t="s">
        <v>9</v>
      </c>
      <c r="ER3" s="106"/>
      <c r="ES3" s="107"/>
      <c r="ET3" s="105" t="s">
        <v>8</v>
      </c>
      <c r="EU3" s="106"/>
      <c r="EV3" s="107"/>
      <c r="EW3" s="105" t="s">
        <v>9</v>
      </c>
      <c r="EX3" s="106"/>
      <c r="EY3" s="107"/>
      <c r="EZ3" s="5"/>
      <c r="FA3" s="105" t="s">
        <v>8</v>
      </c>
      <c r="FB3" s="106"/>
      <c r="FC3" s="107"/>
      <c r="FD3" s="105" t="s">
        <v>9</v>
      </c>
      <c r="FE3" s="106"/>
      <c r="FF3" s="107"/>
      <c r="FG3" s="105" t="s">
        <v>8</v>
      </c>
      <c r="FH3" s="106"/>
      <c r="FI3" s="107"/>
      <c r="FJ3" s="105" t="s">
        <v>9</v>
      </c>
      <c r="FK3" s="106"/>
      <c r="FL3" s="107"/>
      <c r="FM3" s="5"/>
      <c r="FN3" s="5"/>
      <c r="FO3" s="112"/>
    </row>
    <row r="4" spans="1:171" x14ac:dyDescent="0.35">
      <c r="A4" s="33"/>
      <c r="B4" s="46"/>
      <c r="C4" s="57"/>
      <c r="D4" s="47"/>
      <c r="E4" s="57"/>
      <c r="F4" s="57"/>
      <c r="G4" s="57"/>
      <c r="H4" s="57"/>
      <c r="I4" s="57"/>
      <c r="J4" s="57"/>
      <c r="K4" s="33" t="s">
        <v>5</v>
      </c>
      <c r="L4" s="33" t="s">
        <v>6</v>
      </c>
      <c r="M4" s="33" t="s">
        <v>7</v>
      </c>
      <c r="N4" s="33" t="s">
        <v>5</v>
      </c>
      <c r="O4" s="33" t="s">
        <v>6</v>
      </c>
      <c r="P4" s="33" t="s">
        <v>7</v>
      </c>
      <c r="Q4" s="33" t="s">
        <v>5</v>
      </c>
      <c r="R4" s="33" t="s">
        <v>6</v>
      </c>
      <c r="S4" s="33" t="s">
        <v>7</v>
      </c>
      <c r="T4" s="33" t="s">
        <v>5</v>
      </c>
      <c r="U4" s="33" t="s">
        <v>6</v>
      </c>
      <c r="V4" s="33" t="s">
        <v>7</v>
      </c>
      <c r="W4" s="33"/>
      <c r="X4" s="33" t="s">
        <v>5</v>
      </c>
      <c r="Y4" s="33" t="s">
        <v>6</v>
      </c>
      <c r="Z4" s="33" t="s">
        <v>7</v>
      </c>
      <c r="AA4" s="33" t="s">
        <v>5</v>
      </c>
      <c r="AB4" s="33" t="s">
        <v>6</v>
      </c>
      <c r="AC4" s="33" t="s">
        <v>7</v>
      </c>
      <c r="AD4" s="33" t="s">
        <v>5</v>
      </c>
      <c r="AE4" s="33" t="s">
        <v>6</v>
      </c>
      <c r="AF4" s="33" t="s">
        <v>7</v>
      </c>
      <c r="AG4" s="33" t="s">
        <v>5</v>
      </c>
      <c r="AH4" s="33" t="s">
        <v>6</v>
      </c>
      <c r="AI4" s="33" t="s">
        <v>7</v>
      </c>
      <c r="AJ4" s="33"/>
      <c r="AK4" s="33" t="s">
        <v>5</v>
      </c>
      <c r="AL4" s="33" t="s">
        <v>6</v>
      </c>
      <c r="AM4" s="33" t="s">
        <v>7</v>
      </c>
      <c r="AN4" s="33" t="s">
        <v>5</v>
      </c>
      <c r="AO4" s="33" t="s">
        <v>6</v>
      </c>
      <c r="AP4" s="33" t="s">
        <v>7</v>
      </c>
      <c r="AQ4" s="33" t="s">
        <v>5</v>
      </c>
      <c r="AR4" s="33" t="s">
        <v>6</v>
      </c>
      <c r="AS4" s="33" t="s">
        <v>7</v>
      </c>
      <c r="AT4" s="33" t="s">
        <v>5</v>
      </c>
      <c r="AU4" s="33" t="s">
        <v>6</v>
      </c>
      <c r="AV4" s="33" t="s">
        <v>7</v>
      </c>
      <c r="AW4" s="33"/>
      <c r="AX4" s="33"/>
      <c r="AY4" s="33" t="s">
        <v>5</v>
      </c>
      <c r="AZ4" s="33" t="s">
        <v>6</v>
      </c>
      <c r="BA4" s="33" t="s">
        <v>7</v>
      </c>
      <c r="BB4" s="33" t="s">
        <v>5</v>
      </c>
      <c r="BC4" s="33" t="s">
        <v>6</v>
      </c>
      <c r="BD4" s="33" t="s">
        <v>7</v>
      </c>
      <c r="BE4" s="33" t="s">
        <v>5</v>
      </c>
      <c r="BF4" s="33" t="s">
        <v>6</v>
      </c>
      <c r="BG4" s="33" t="s">
        <v>7</v>
      </c>
      <c r="BH4" s="33" t="s">
        <v>5</v>
      </c>
      <c r="BI4" s="33" t="s">
        <v>6</v>
      </c>
      <c r="BJ4" s="33" t="s">
        <v>7</v>
      </c>
      <c r="BK4" s="33"/>
      <c r="BL4" s="33" t="s">
        <v>5</v>
      </c>
      <c r="BM4" s="33" t="s">
        <v>6</v>
      </c>
      <c r="BN4" s="33" t="s">
        <v>7</v>
      </c>
      <c r="BO4" s="33" t="s">
        <v>5</v>
      </c>
      <c r="BP4" s="33" t="s">
        <v>6</v>
      </c>
      <c r="BQ4" s="33" t="s">
        <v>7</v>
      </c>
      <c r="BR4" s="33" t="s">
        <v>5</v>
      </c>
      <c r="BS4" s="33" t="s">
        <v>6</v>
      </c>
      <c r="BT4" s="33" t="s">
        <v>7</v>
      </c>
      <c r="BU4" s="33" t="s">
        <v>5</v>
      </c>
      <c r="BV4" s="33" t="s">
        <v>6</v>
      </c>
      <c r="BW4" s="33" t="s">
        <v>7</v>
      </c>
      <c r="BX4" s="33"/>
      <c r="BY4" s="33" t="s">
        <v>5</v>
      </c>
      <c r="BZ4" s="33" t="s">
        <v>6</v>
      </c>
      <c r="CA4" s="33" t="s">
        <v>7</v>
      </c>
      <c r="CB4" s="33" t="s">
        <v>5</v>
      </c>
      <c r="CC4" s="33" t="s">
        <v>6</v>
      </c>
      <c r="CD4" s="33" t="s">
        <v>7</v>
      </c>
      <c r="CE4" s="33" t="s">
        <v>5</v>
      </c>
      <c r="CF4" s="33" t="s">
        <v>6</v>
      </c>
      <c r="CG4" s="33" t="s">
        <v>7</v>
      </c>
      <c r="CH4" s="33" t="s">
        <v>5</v>
      </c>
      <c r="CI4" s="33" t="s">
        <v>6</v>
      </c>
      <c r="CJ4" s="33" t="s">
        <v>7</v>
      </c>
      <c r="CK4" s="33"/>
      <c r="CL4" s="33"/>
      <c r="CM4" s="33" t="s">
        <v>5</v>
      </c>
      <c r="CN4" s="33" t="s">
        <v>6</v>
      </c>
      <c r="CO4" s="33" t="s">
        <v>7</v>
      </c>
      <c r="CP4" s="33" t="s">
        <v>5</v>
      </c>
      <c r="CQ4" s="33" t="s">
        <v>6</v>
      </c>
      <c r="CR4" s="33" t="s">
        <v>7</v>
      </c>
      <c r="CS4" s="33" t="s">
        <v>5</v>
      </c>
      <c r="CT4" s="33" t="s">
        <v>6</v>
      </c>
      <c r="CU4" s="33" t="s">
        <v>7</v>
      </c>
      <c r="CV4" s="33" t="s">
        <v>5</v>
      </c>
      <c r="CW4" s="33" t="s">
        <v>6</v>
      </c>
      <c r="CX4" s="33" t="s">
        <v>7</v>
      </c>
      <c r="CY4" s="33"/>
      <c r="CZ4" s="33" t="s">
        <v>5</v>
      </c>
      <c r="DA4" s="33" t="s">
        <v>6</v>
      </c>
      <c r="DB4" s="33" t="s">
        <v>7</v>
      </c>
      <c r="DC4" s="33" t="s">
        <v>5</v>
      </c>
      <c r="DD4" s="33" t="s">
        <v>6</v>
      </c>
      <c r="DE4" s="33" t="s">
        <v>7</v>
      </c>
      <c r="DF4" s="33" t="s">
        <v>5</v>
      </c>
      <c r="DG4" s="33" t="s">
        <v>6</v>
      </c>
      <c r="DH4" s="33" t="s">
        <v>7</v>
      </c>
      <c r="DI4" s="33" t="s">
        <v>5</v>
      </c>
      <c r="DJ4" s="33" t="s">
        <v>6</v>
      </c>
      <c r="DK4" s="33" t="s">
        <v>7</v>
      </c>
      <c r="DL4" s="33"/>
      <c r="DM4" s="33" t="s">
        <v>5</v>
      </c>
      <c r="DN4" s="33" t="s">
        <v>6</v>
      </c>
      <c r="DO4" s="33" t="s">
        <v>7</v>
      </c>
      <c r="DP4" s="33" t="s">
        <v>5</v>
      </c>
      <c r="DQ4" s="33" t="s">
        <v>6</v>
      </c>
      <c r="DR4" s="33" t="s">
        <v>7</v>
      </c>
      <c r="DS4" s="33" t="s">
        <v>5</v>
      </c>
      <c r="DT4" s="33" t="s">
        <v>6</v>
      </c>
      <c r="DU4" s="33" t="s">
        <v>7</v>
      </c>
      <c r="DV4" s="33" t="s">
        <v>5</v>
      </c>
      <c r="DW4" s="33" t="s">
        <v>6</v>
      </c>
      <c r="DX4" s="33" t="s">
        <v>7</v>
      </c>
      <c r="DY4" s="33"/>
      <c r="DZ4" s="33"/>
      <c r="EA4" s="33" t="s">
        <v>5</v>
      </c>
      <c r="EB4" s="33" t="s">
        <v>6</v>
      </c>
      <c r="EC4" s="33" t="s">
        <v>7</v>
      </c>
      <c r="ED4" s="33" t="s">
        <v>5</v>
      </c>
      <c r="EE4" s="33" t="s">
        <v>6</v>
      </c>
      <c r="EF4" s="33" t="s">
        <v>7</v>
      </c>
      <c r="EG4" s="33" t="s">
        <v>5</v>
      </c>
      <c r="EH4" s="33" t="s">
        <v>6</v>
      </c>
      <c r="EI4" s="33" t="s">
        <v>7</v>
      </c>
      <c r="EJ4" s="33" t="s">
        <v>5</v>
      </c>
      <c r="EK4" s="33" t="s">
        <v>6</v>
      </c>
      <c r="EL4" s="33" t="s">
        <v>7</v>
      </c>
      <c r="EM4" s="33"/>
      <c r="EN4" s="33" t="s">
        <v>5</v>
      </c>
      <c r="EO4" s="33" t="s">
        <v>6</v>
      </c>
      <c r="EP4" s="33" t="s">
        <v>7</v>
      </c>
      <c r="EQ4" s="33" t="s">
        <v>5</v>
      </c>
      <c r="ER4" s="33" t="s">
        <v>6</v>
      </c>
      <c r="ES4" s="33" t="s">
        <v>7</v>
      </c>
      <c r="ET4" s="33" t="s">
        <v>5</v>
      </c>
      <c r="EU4" s="33" t="s">
        <v>6</v>
      </c>
      <c r="EV4" s="33" t="s">
        <v>7</v>
      </c>
      <c r="EW4" s="33" t="s">
        <v>5</v>
      </c>
      <c r="EX4" s="33" t="s">
        <v>6</v>
      </c>
      <c r="EY4" s="33" t="s">
        <v>7</v>
      </c>
      <c r="EZ4" s="33"/>
      <c r="FA4" s="33" t="s">
        <v>5</v>
      </c>
      <c r="FB4" s="33" t="s">
        <v>6</v>
      </c>
      <c r="FC4" s="33" t="s">
        <v>7</v>
      </c>
      <c r="FD4" s="33" t="s">
        <v>5</v>
      </c>
      <c r="FE4" s="33" t="s">
        <v>6</v>
      </c>
      <c r="FF4" s="33" t="s">
        <v>7</v>
      </c>
      <c r="FG4" s="33" t="s">
        <v>5</v>
      </c>
      <c r="FH4" s="33" t="s">
        <v>6</v>
      </c>
      <c r="FI4" s="33" t="s">
        <v>7</v>
      </c>
      <c r="FJ4" s="33" t="s">
        <v>5</v>
      </c>
      <c r="FK4" s="33" t="s">
        <v>6</v>
      </c>
      <c r="FL4" s="33" t="s">
        <v>7</v>
      </c>
      <c r="FM4" s="33"/>
      <c r="FN4" s="33"/>
      <c r="FO4" s="33"/>
    </row>
    <row r="5" spans="1:171" x14ac:dyDescent="0.35">
      <c r="A5" s="36" t="s">
        <v>4</v>
      </c>
      <c r="B5" s="36" t="s">
        <v>116</v>
      </c>
      <c r="C5" s="36"/>
      <c r="D5" s="36"/>
      <c r="E5" s="36"/>
      <c r="F5" s="36"/>
      <c r="G5" s="36"/>
      <c r="H5" s="36"/>
      <c r="I5" s="36"/>
      <c r="J5" s="36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>
        <f>SUM(K5:V5)</f>
        <v>0</v>
      </c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>
        <f t="shared" ref="AJ5:AJ40" si="0">SUM(X5:AI5)</f>
        <v>0</v>
      </c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>
        <f t="shared" ref="AW5:AW79" si="1">SUM(AK5:AV5)</f>
        <v>0</v>
      </c>
      <c r="AX5" s="37">
        <f t="shared" ref="AX5:AX75" si="2">+W5+AJ5+AW5</f>
        <v>0</v>
      </c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>
        <f>SUM(AY5:BJ5)</f>
        <v>0</v>
      </c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>
        <f>SUM(BL5:BW5)</f>
        <v>0</v>
      </c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>
        <f>SUM(BY5:CJ5)</f>
        <v>0</v>
      </c>
      <c r="CL5" s="37">
        <f>+BK5+BX5+CK5</f>
        <v>0</v>
      </c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>
        <f>SUM(CM5:CX5)</f>
        <v>0</v>
      </c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>
        <f t="shared" ref="DL5:DL79" si="3">SUM(CZ5:DK5)</f>
        <v>0</v>
      </c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>
        <f>SUM(DM5:DX5)</f>
        <v>0</v>
      </c>
      <c r="DZ5" s="37">
        <f>+CY5+DL5+DY5</f>
        <v>0</v>
      </c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>
        <f>SUM(EA5:EL5)</f>
        <v>0</v>
      </c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>
        <f t="shared" ref="EZ5:EZ79" si="4">SUM(EN5:EY5)</f>
        <v>0</v>
      </c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>
        <f>SUM(FA5:FL5)</f>
        <v>0</v>
      </c>
      <c r="FN5" s="37">
        <f>+EM5+EZ5+FM5</f>
        <v>0</v>
      </c>
      <c r="FO5" s="37">
        <f>+AX5+CL5+DZ5+FN5</f>
        <v>0</v>
      </c>
    </row>
    <row r="6" spans="1:171" x14ac:dyDescent="0.35">
      <c r="A6" s="34"/>
      <c r="B6" s="40"/>
      <c r="C6" s="58"/>
      <c r="D6" s="79" t="s">
        <v>122</v>
      </c>
      <c r="E6" s="40" t="s">
        <v>8</v>
      </c>
      <c r="F6" s="58" t="s">
        <v>18</v>
      </c>
      <c r="G6" s="58"/>
      <c r="H6" s="58"/>
      <c r="I6" s="58"/>
      <c r="J6" s="58"/>
      <c r="K6" s="35"/>
      <c r="L6" s="35"/>
      <c r="M6" s="35"/>
      <c r="N6" s="35"/>
      <c r="O6" s="35"/>
      <c r="P6" s="35"/>
      <c r="Q6" s="35">
        <v>32550</v>
      </c>
      <c r="R6" s="35">
        <v>750</v>
      </c>
      <c r="S6" s="35">
        <v>977</v>
      </c>
      <c r="T6" s="35"/>
      <c r="U6" s="35"/>
      <c r="V6" s="35"/>
      <c r="W6" s="35">
        <f>SUM(K6:V6)</f>
        <v>34277</v>
      </c>
      <c r="X6" s="35"/>
      <c r="Y6" s="35"/>
      <c r="Z6" s="35"/>
      <c r="AA6" s="35"/>
      <c r="AB6" s="35"/>
      <c r="AC6" s="35"/>
      <c r="AD6" s="35">
        <v>32550</v>
      </c>
      <c r="AE6" s="35">
        <v>750</v>
      </c>
      <c r="AF6" s="35">
        <v>977</v>
      </c>
      <c r="AG6" s="35"/>
      <c r="AH6" s="35"/>
      <c r="AI6" s="35"/>
      <c r="AJ6" s="35">
        <f t="shared" si="0"/>
        <v>34277</v>
      </c>
      <c r="AK6" s="35"/>
      <c r="AL6" s="35"/>
      <c r="AM6" s="35"/>
      <c r="AN6" s="35"/>
      <c r="AO6" s="35"/>
      <c r="AP6" s="35"/>
      <c r="AQ6" s="35">
        <v>32550</v>
      </c>
      <c r="AR6" s="35">
        <v>750</v>
      </c>
      <c r="AS6" s="35">
        <v>977</v>
      </c>
      <c r="AT6" s="35"/>
      <c r="AU6" s="35"/>
      <c r="AV6" s="35"/>
      <c r="AW6" s="35">
        <f t="shared" si="1"/>
        <v>34277</v>
      </c>
      <c r="AX6" s="35">
        <f t="shared" si="2"/>
        <v>102831</v>
      </c>
      <c r="AY6" s="35"/>
      <c r="AZ6" s="35"/>
      <c r="BA6" s="35"/>
      <c r="BB6" s="35"/>
      <c r="BC6" s="35"/>
      <c r="BD6" s="35"/>
      <c r="BE6" s="35">
        <v>32550</v>
      </c>
      <c r="BF6" s="35">
        <v>750</v>
      </c>
      <c r="BG6" s="35">
        <v>977</v>
      </c>
      <c r="BH6" s="35"/>
      <c r="BI6" s="35"/>
      <c r="BJ6" s="35"/>
      <c r="BK6" s="35">
        <f t="shared" ref="BK6:BK80" si="5">SUM(AY6:BJ6)</f>
        <v>34277</v>
      </c>
      <c r="BL6" s="35"/>
      <c r="BM6" s="35"/>
      <c r="BN6" s="35"/>
      <c r="BO6" s="35"/>
      <c r="BP6" s="35"/>
      <c r="BQ6" s="35"/>
      <c r="BR6" s="35">
        <v>32550</v>
      </c>
      <c r="BS6" s="35">
        <v>750</v>
      </c>
      <c r="BT6" s="35">
        <v>977</v>
      </c>
      <c r="BU6" s="35"/>
      <c r="BV6" s="35"/>
      <c r="BW6" s="35"/>
      <c r="BX6" s="35">
        <f t="shared" ref="BX6:BX79" si="6">SUM(BL6:BW6)</f>
        <v>34277</v>
      </c>
      <c r="BY6" s="35"/>
      <c r="BZ6" s="35"/>
      <c r="CA6" s="35"/>
      <c r="CB6" s="35"/>
      <c r="CC6" s="35"/>
      <c r="CD6" s="35"/>
      <c r="CE6" s="35">
        <v>32550</v>
      </c>
      <c r="CF6" s="35">
        <v>750</v>
      </c>
      <c r="CG6" s="35">
        <v>977</v>
      </c>
      <c r="CH6" s="35"/>
      <c r="CI6" s="35"/>
      <c r="CJ6" s="35"/>
      <c r="CK6" s="35">
        <f t="shared" ref="CK6:CK79" si="7">SUM(BY6:CJ6)</f>
        <v>34277</v>
      </c>
      <c r="CL6" s="35">
        <f t="shared" ref="CL6:CL80" si="8">+BK6+BX6+CK6</f>
        <v>102831</v>
      </c>
      <c r="CM6" s="35"/>
      <c r="CN6" s="35"/>
      <c r="CO6" s="35"/>
      <c r="CP6" s="35"/>
      <c r="CQ6" s="35"/>
      <c r="CR6" s="35"/>
      <c r="CS6" s="35">
        <v>34180</v>
      </c>
      <c r="CT6" s="35">
        <v>750</v>
      </c>
      <c r="CU6" s="35">
        <v>1025</v>
      </c>
      <c r="CV6" s="35"/>
      <c r="CW6" s="35"/>
      <c r="CX6" s="35"/>
      <c r="CY6" s="35">
        <f t="shared" ref="CY6:CY80" si="9">SUM(CM6:CX6)</f>
        <v>35955</v>
      </c>
      <c r="CZ6" s="35"/>
      <c r="DA6" s="35"/>
      <c r="DB6" s="35"/>
      <c r="DC6" s="35"/>
      <c r="DD6" s="35"/>
      <c r="DE6" s="35"/>
      <c r="DF6" s="35">
        <f>9780+34180</f>
        <v>43960</v>
      </c>
      <c r="DG6" s="35">
        <v>750</v>
      </c>
      <c r="DH6" s="35">
        <f>294+1025</f>
        <v>1319</v>
      </c>
      <c r="DI6" s="35"/>
      <c r="DJ6" s="35"/>
      <c r="DK6" s="35"/>
      <c r="DL6" s="35">
        <f t="shared" si="3"/>
        <v>46029</v>
      </c>
      <c r="DM6" s="35"/>
      <c r="DN6" s="35"/>
      <c r="DO6" s="35"/>
      <c r="DP6" s="35"/>
      <c r="DQ6" s="35"/>
      <c r="DR6" s="35"/>
      <c r="DS6" s="35">
        <v>34180</v>
      </c>
      <c r="DT6" s="35">
        <v>750</v>
      </c>
      <c r="DU6" s="35">
        <v>1025</v>
      </c>
      <c r="DV6" s="35"/>
      <c r="DW6" s="35"/>
      <c r="DX6" s="35"/>
      <c r="DY6" s="35">
        <f t="shared" ref="DY6:DY80" si="10">SUM(DM6:DX6)</f>
        <v>35955</v>
      </c>
      <c r="DZ6" s="35">
        <f t="shared" ref="DZ6:DZ80" si="11">+CY6+DL6+DY6</f>
        <v>117939</v>
      </c>
      <c r="EA6" s="35"/>
      <c r="EB6" s="35"/>
      <c r="EC6" s="35"/>
      <c r="ED6" s="35"/>
      <c r="EE6" s="35"/>
      <c r="EF6" s="35"/>
      <c r="EG6" s="35">
        <v>34180</v>
      </c>
      <c r="EH6" s="35">
        <v>750</v>
      </c>
      <c r="EI6" s="35">
        <v>1025</v>
      </c>
      <c r="EJ6" s="35"/>
      <c r="EK6" s="35"/>
      <c r="EL6" s="35"/>
      <c r="EM6" s="35">
        <f t="shared" ref="EM6:EM80" si="12">SUM(EA6:EL6)</f>
        <v>35955</v>
      </c>
      <c r="EN6" s="35"/>
      <c r="EO6" s="35"/>
      <c r="EP6" s="35"/>
      <c r="EQ6" s="35"/>
      <c r="ER6" s="35"/>
      <c r="ES6" s="35"/>
      <c r="ET6" s="35">
        <v>34180</v>
      </c>
      <c r="EU6" s="35">
        <v>750</v>
      </c>
      <c r="EV6" s="35">
        <v>1025</v>
      </c>
      <c r="EW6" s="35"/>
      <c r="EX6" s="35"/>
      <c r="EY6" s="35"/>
      <c r="EZ6" s="35">
        <f t="shared" si="4"/>
        <v>35955</v>
      </c>
      <c r="FA6" s="35"/>
      <c r="FB6" s="35"/>
      <c r="FC6" s="35"/>
      <c r="FD6" s="35"/>
      <c r="FE6" s="35"/>
      <c r="FF6" s="35"/>
      <c r="FG6" s="35">
        <v>34180</v>
      </c>
      <c r="FH6" s="35">
        <v>750</v>
      </c>
      <c r="FI6" s="35">
        <v>1025</v>
      </c>
      <c r="FJ6" s="35"/>
      <c r="FK6" s="35"/>
      <c r="FL6" s="35"/>
      <c r="FM6" s="35">
        <f t="shared" ref="FM6:FM80" si="13">SUM(FA6:FL6)</f>
        <v>35955</v>
      </c>
      <c r="FN6" s="35">
        <f t="shared" ref="FN6:FN80" si="14">+EM6+EZ6+FM6</f>
        <v>107865</v>
      </c>
      <c r="FO6" s="35">
        <f t="shared" ref="FO6:FO80" si="15">+AX6+CL6+DZ6+FN6</f>
        <v>431466</v>
      </c>
    </row>
    <row r="7" spans="1:171" x14ac:dyDescent="0.35">
      <c r="A7" s="34"/>
      <c r="B7" s="40"/>
      <c r="C7" s="58"/>
      <c r="D7" s="79" t="s">
        <v>121</v>
      </c>
      <c r="E7" s="78" t="s">
        <v>8</v>
      </c>
      <c r="F7" s="77" t="s">
        <v>18</v>
      </c>
      <c r="G7" s="58"/>
      <c r="H7" s="58"/>
      <c r="I7" s="58"/>
      <c r="J7" s="58"/>
      <c r="K7" s="35"/>
      <c r="L7" s="35"/>
      <c r="M7" s="35"/>
      <c r="N7" s="35"/>
      <c r="O7" s="35"/>
      <c r="P7" s="35"/>
      <c r="Q7" s="35">
        <v>33190</v>
      </c>
      <c r="R7" s="35">
        <v>750</v>
      </c>
      <c r="S7" s="35">
        <v>996</v>
      </c>
      <c r="T7" s="35"/>
      <c r="U7" s="35"/>
      <c r="V7" s="35"/>
      <c r="W7" s="35">
        <f t="shared" ref="W7:W80" si="16">SUM(K7:V7)</f>
        <v>34936</v>
      </c>
      <c r="X7" s="35"/>
      <c r="Y7" s="35"/>
      <c r="Z7" s="35"/>
      <c r="AA7" s="35"/>
      <c r="AB7" s="35"/>
      <c r="AC7" s="35"/>
      <c r="AD7" s="35">
        <v>33190</v>
      </c>
      <c r="AE7" s="35">
        <v>750</v>
      </c>
      <c r="AF7" s="35">
        <v>996</v>
      </c>
      <c r="AG7" s="35"/>
      <c r="AH7" s="35"/>
      <c r="AI7" s="35"/>
      <c r="AJ7" s="35">
        <f t="shared" si="0"/>
        <v>34936</v>
      </c>
      <c r="AK7" s="35"/>
      <c r="AL7" s="35"/>
      <c r="AM7" s="35"/>
      <c r="AN7" s="35"/>
      <c r="AO7" s="35"/>
      <c r="AP7" s="35"/>
      <c r="AQ7" s="35">
        <v>33190</v>
      </c>
      <c r="AR7" s="35">
        <v>750</v>
      </c>
      <c r="AS7" s="35">
        <v>996</v>
      </c>
      <c r="AT7" s="35"/>
      <c r="AU7" s="35"/>
      <c r="AV7" s="35"/>
      <c r="AW7" s="35">
        <f t="shared" si="1"/>
        <v>34936</v>
      </c>
      <c r="AX7" s="35">
        <f t="shared" si="2"/>
        <v>104808</v>
      </c>
      <c r="AY7" s="35"/>
      <c r="AZ7" s="35"/>
      <c r="BA7" s="35"/>
      <c r="BB7" s="35"/>
      <c r="BC7" s="35"/>
      <c r="BD7" s="35"/>
      <c r="BE7" s="35">
        <v>33190</v>
      </c>
      <c r="BF7" s="35">
        <v>750</v>
      </c>
      <c r="BG7" s="35">
        <v>996</v>
      </c>
      <c r="BH7" s="35"/>
      <c r="BI7" s="35"/>
      <c r="BJ7" s="35"/>
      <c r="BK7" s="35">
        <f t="shared" si="5"/>
        <v>34936</v>
      </c>
      <c r="BL7" s="35"/>
      <c r="BM7" s="35"/>
      <c r="BN7" s="35"/>
      <c r="BO7" s="35"/>
      <c r="BP7" s="35"/>
      <c r="BQ7" s="35"/>
      <c r="BR7" s="35">
        <v>33190</v>
      </c>
      <c r="BS7" s="35">
        <v>750</v>
      </c>
      <c r="BT7" s="35">
        <v>996</v>
      </c>
      <c r="BU7" s="35"/>
      <c r="BV7" s="35"/>
      <c r="BW7" s="35"/>
      <c r="BX7" s="35">
        <f t="shared" si="6"/>
        <v>34936</v>
      </c>
      <c r="BY7" s="35"/>
      <c r="BZ7" s="35"/>
      <c r="CA7" s="35"/>
      <c r="CB7" s="35"/>
      <c r="CC7" s="35"/>
      <c r="CD7" s="35"/>
      <c r="CE7" s="35">
        <v>33190</v>
      </c>
      <c r="CF7" s="35">
        <v>750</v>
      </c>
      <c r="CG7" s="35">
        <v>996</v>
      </c>
      <c r="CH7" s="35"/>
      <c r="CI7" s="35"/>
      <c r="CJ7" s="35"/>
      <c r="CK7" s="35">
        <f t="shared" si="7"/>
        <v>34936</v>
      </c>
      <c r="CL7" s="35">
        <f t="shared" si="8"/>
        <v>104808</v>
      </c>
      <c r="CM7" s="35"/>
      <c r="CN7" s="35"/>
      <c r="CO7" s="35"/>
      <c r="CP7" s="35"/>
      <c r="CQ7" s="35"/>
      <c r="CR7" s="35"/>
      <c r="CS7" s="35">
        <v>34850</v>
      </c>
      <c r="CT7" s="35">
        <v>750</v>
      </c>
      <c r="CU7" s="35">
        <v>1046</v>
      </c>
      <c r="CV7" s="35"/>
      <c r="CW7" s="35"/>
      <c r="CX7" s="35"/>
      <c r="CY7" s="35">
        <f t="shared" si="9"/>
        <v>36646</v>
      </c>
      <c r="CZ7" s="35"/>
      <c r="DA7" s="35"/>
      <c r="DB7" s="35"/>
      <c r="DC7" s="35"/>
      <c r="DD7" s="35"/>
      <c r="DE7" s="35"/>
      <c r="DF7" s="35">
        <f>9960+34850</f>
        <v>44810</v>
      </c>
      <c r="DG7" s="35">
        <v>750</v>
      </c>
      <c r="DH7" s="35">
        <f>300+1046</f>
        <v>1346</v>
      </c>
      <c r="DI7" s="35"/>
      <c r="DJ7" s="35"/>
      <c r="DK7" s="35"/>
      <c r="DL7" s="35">
        <f t="shared" si="3"/>
        <v>46906</v>
      </c>
      <c r="DM7" s="35"/>
      <c r="DN7" s="35"/>
      <c r="DO7" s="35"/>
      <c r="DP7" s="35"/>
      <c r="DQ7" s="35"/>
      <c r="DR7" s="35"/>
      <c r="DS7" s="35">
        <v>34850</v>
      </c>
      <c r="DT7" s="35">
        <v>750</v>
      </c>
      <c r="DU7" s="35">
        <v>1046</v>
      </c>
      <c r="DV7" s="35"/>
      <c r="DW7" s="35"/>
      <c r="DX7" s="35"/>
      <c r="DY7" s="35">
        <f t="shared" si="10"/>
        <v>36646</v>
      </c>
      <c r="DZ7" s="35">
        <f t="shared" si="11"/>
        <v>120198</v>
      </c>
      <c r="EA7" s="35"/>
      <c r="EB7" s="35"/>
      <c r="EC7" s="35"/>
      <c r="ED7" s="35"/>
      <c r="EE7" s="35"/>
      <c r="EF7" s="35"/>
      <c r="EG7" s="35">
        <v>34850</v>
      </c>
      <c r="EH7" s="35">
        <v>750</v>
      </c>
      <c r="EI7" s="35">
        <v>1046</v>
      </c>
      <c r="EJ7" s="35"/>
      <c r="EK7" s="35"/>
      <c r="EL7" s="35"/>
      <c r="EM7" s="35">
        <f t="shared" si="12"/>
        <v>36646</v>
      </c>
      <c r="EN7" s="35"/>
      <c r="EO7" s="35"/>
      <c r="EP7" s="35"/>
      <c r="EQ7" s="35"/>
      <c r="ER7" s="35"/>
      <c r="ES7" s="35"/>
      <c r="ET7" s="35">
        <v>34850</v>
      </c>
      <c r="EU7" s="35">
        <v>750</v>
      </c>
      <c r="EV7" s="35">
        <v>1046</v>
      </c>
      <c r="EW7" s="35"/>
      <c r="EX7" s="35"/>
      <c r="EY7" s="35"/>
      <c r="EZ7" s="35">
        <f t="shared" si="4"/>
        <v>36646</v>
      </c>
      <c r="FA7" s="35"/>
      <c r="FB7" s="35"/>
      <c r="FC7" s="35"/>
      <c r="FD7" s="35"/>
      <c r="FE7" s="35"/>
      <c r="FF7" s="35"/>
      <c r="FG7" s="35">
        <v>34850</v>
      </c>
      <c r="FH7" s="35">
        <v>750</v>
      </c>
      <c r="FI7" s="35">
        <v>1046</v>
      </c>
      <c r="FJ7" s="35"/>
      <c r="FK7" s="35"/>
      <c r="FL7" s="35"/>
      <c r="FM7" s="35">
        <f t="shared" si="13"/>
        <v>36646</v>
      </c>
      <c r="FN7" s="35">
        <f t="shared" si="14"/>
        <v>109938</v>
      </c>
      <c r="FO7" s="35">
        <f t="shared" si="15"/>
        <v>439752</v>
      </c>
    </row>
    <row r="8" spans="1:171" x14ac:dyDescent="0.35">
      <c r="A8" s="34"/>
      <c r="B8" s="40"/>
      <c r="C8" s="58"/>
      <c r="D8" s="79" t="s">
        <v>123</v>
      </c>
      <c r="E8" s="40" t="s">
        <v>9</v>
      </c>
      <c r="F8" s="58" t="s">
        <v>18</v>
      </c>
      <c r="G8" s="58"/>
      <c r="H8" s="58"/>
      <c r="I8" s="58"/>
      <c r="J8" s="58"/>
      <c r="K8" s="35"/>
      <c r="L8" s="35"/>
      <c r="M8" s="35"/>
      <c r="N8" s="35"/>
      <c r="O8" s="35"/>
      <c r="P8" s="35"/>
      <c r="Q8" s="35"/>
      <c r="R8" s="35"/>
      <c r="S8" s="35"/>
      <c r="T8" s="35">
        <v>24480</v>
      </c>
      <c r="U8" s="35">
        <v>750</v>
      </c>
      <c r="V8" s="35">
        <v>734</v>
      </c>
      <c r="W8" s="35">
        <f t="shared" si="16"/>
        <v>25964</v>
      </c>
      <c r="X8" s="35"/>
      <c r="Y8" s="35"/>
      <c r="Z8" s="35"/>
      <c r="AA8" s="35"/>
      <c r="AB8" s="35"/>
      <c r="AC8" s="35"/>
      <c r="AD8" s="35"/>
      <c r="AE8" s="35"/>
      <c r="AF8" s="35"/>
      <c r="AG8" s="35">
        <v>24480</v>
      </c>
      <c r="AH8" s="35">
        <v>750</v>
      </c>
      <c r="AI8" s="35">
        <v>734</v>
      </c>
      <c r="AJ8" s="35">
        <f t="shared" si="0"/>
        <v>25964</v>
      </c>
      <c r="AK8" s="35"/>
      <c r="AL8" s="35"/>
      <c r="AM8" s="35"/>
      <c r="AN8" s="35"/>
      <c r="AO8" s="35"/>
      <c r="AP8" s="35"/>
      <c r="AQ8" s="35"/>
      <c r="AR8" s="35"/>
      <c r="AS8" s="35"/>
      <c r="AT8" s="35">
        <v>24480</v>
      </c>
      <c r="AU8" s="35">
        <v>750</v>
      </c>
      <c r="AV8" s="35">
        <v>734</v>
      </c>
      <c r="AW8" s="35">
        <f t="shared" si="1"/>
        <v>25964</v>
      </c>
      <c r="AX8" s="35">
        <f t="shared" si="2"/>
        <v>77892</v>
      </c>
      <c r="AY8" s="35"/>
      <c r="AZ8" s="35"/>
      <c r="BA8" s="35"/>
      <c r="BB8" s="35"/>
      <c r="BC8" s="35"/>
      <c r="BD8" s="35"/>
      <c r="BE8" s="35"/>
      <c r="BF8" s="35"/>
      <c r="BG8" s="35"/>
      <c r="BH8" s="35">
        <v>24480</v>
      </c>
      <c r="BI8" s="35">
        <v>750</v>
      </c>
      <c r="BJ8" s="35">
        <v>734</v>
      </c>
      <c r="BK8" s="35">
        <f t="shared" si="5"/>
        <v>25964</v>
      </c>
      <c r="BL8" s="35"/>
      <c r="BM8" s="35"/>
      <c r="BN8" s="35"/>
      <c r="BO8" s="35"/>
      <c r="BP8" s="35"/>
      <c r="BQ8" s="35"/>
      <c r="BR8" s="35"/>
      <c r="BS8" s="35"/>
      <c r="BT8" s="35"/>
      <c r="BU8" s="35">
        <v>24480</v>
      </c>
      <c r="BV8" s="35">
        <v>750</v>
      </c>
      <c r="BW8" s="35">
        <v>734</v>
      </c>
      <c r="BX8" s="35">
        <f t="shared" si="6"/>
        <v>25964</v>
      </c>
      <c r="BY8" s="35"/>
      <c r="BZ8" s="35"/>
      <c r="CA8" s="35"/>
      <c r="CB8" s="35"/>
      <c r="CC8" s="35"/>
      <c r="CD8" s="35"/>
      <c r="CE8" s="35"/>
      <c r="CF8" s="35"/>
      <c r="CG8" s="35"/>
      <c r="CH8" s="35">
        <v>24480</v>
      </c>
      <c r="CI8" s="35">
        <v>750</v>
      </c>
      <c r="CJ8" s="35">
        <v>734</v>
      </c>
      <c r="CK8" s="35">
        <f t="shared" si="7"/>
        <v>25964</v>
      </c>
      <c r="CL8" s="35">
        <f t="shared" si="8"/>
        <v>77892</v>
      </c>
      <c r="CM8" s="35"/>
      <c r="CN8" s="35"/>
      <c r="CO8" s="35"/>
      <c r="CP8" s="35"/>
      <c r="CQ8" s="35"/>
      <c r="CR8" s="35"/>
      <c r="CS8" s="35"/>
      <c r="CT8" s="35"/>
      <c r="CU8" s="35"/>
      <c r="CV8" s="35">
        <v>25700</v>
      </c>
      <c r="CW8" s="35">
        <v>750</v>
      </c>
      <c r="CX8" s="35">
        <v>771</v>
      </c>
      <c r="CY8" s="35">
        <f t="shared" si="9"/>
        <v>27221</v>
      </c>
      <c r="CZ8" s="35"/>
      <c r="DA8" s="35"/>
      <c r="DB8" s="35"/>
      <c r="DC8" s="35"/>
      <c r="DD8" s="35"/>
      <c r="DE8" s="35"/>
      <c r="DF8" s="35"/>
      <c r="DG8" s="35"/>
      <c r="DH8" s="35"/>
      <c r="DI8" s="35">
        <f>7320+25700</f>
        <v>33020</v>
      </c>
      <c r="DJ8" s="35">
        <v>750</v>
      </c>
      <c r="DK8" s="35">
        <f>222+771</f>
        <v>993</v>
      </c>
      <c r="DL8" s="35">
        <f t="shared" si="3"/>
        <v>34763</v>
      </c>
      <c r="DM8" s="35"/>
      <c r="DN8" s="35"/>
      <c r="DO8" s="35"/>
      <c r="DP8" s="35"/>
      <c r="DQ8" s="35"/>
      <c r="DR8" s="35"/>
      <c r="DS8" s="35"/>
      <c r="DT8" s="35"/>
      <c r="DU8" s="35"/>
      <c r="DV8" s="35">
        <v>25700</v>
      </c>
      <c r="DW8" s="35">
        <v>750</v>
      </c>
      <c r="DX8" s="35">
        <v>771</v>
      </c>
      <c r="DY8" s="35">
        <f t="shared" si="10"/>
        <v>27221</v>
      </c>
      <c r="DZ8" s="35">
        <f t="shared" si="11"/>
        <v>89205</v>
      </c>
      <c r="EA8" s="35"/>
      <c r="EB8" s="35"/>
      <c r="EC8" s="35"/>
      <c r="ED8" s="35"/>
      <c r="EE8" s="35"/>
      <c r="EF8" s="35"/>
      <c r="EG8" s="35"/>
      <c r="EH8" s="35"/>
      <c r="EI8" s="35"/>
      <c r="EJ8" s="35">
        <v>25700</v>
      </c>
      <c r="EK8" s="35">
        <v>750</v>
      </c>
      <c r="EL8" s="35">
        <v>771</v>
      </c>
      <c r="EM8" s="35">
        <f t="shared" si="12"/>
        <v>27221</v>
      </c>
      <c r="EN8" s="35"/>
      <c r="EO8" s="35"/>
      <c r="EP8" s="35"/>
      <c r="EQ8" s="35"/>
      <c r="ER8" s="35"/>
      <c r="ES8" s="35"/>
      <c r="ET8" s="35"/>
      <c r="EU8" s="35"/>
      <c r="EV8" s="35"/>
      <c r="EW8" s="35">
        <v>25700</v>
      </c>
      <c r="EX8" s="35">
        <v>750</v>
      </c>
      <c r="EY8" s="35">
        <v>771</v>
      </c>
      <c r="EZ8" s="35">
        <f t="shared" si="4"/>
        <v>27221</v>
      </c>
      <c r="FA8" s="35"/>
      <c r="FB8" s="35"/>
      <c r="FC8" s="35"/>
      <c r="FD8" s="35"/>
      <c r="FE8" s="35"/>
      <c r="FF8" s="35"/>
      <c r="FG8" s="35"/>
      <c r="FH8" s="35"/>
      <c r="FI8" s="35"/>
      <c r="FJ8" s="35">
        <v>25700</v>
      </c>
      <c r="FK8" s="35">
        <v>750</v>
      </c>
      <c r="FL8" s="35">
        <v>771</v>
      </c>
      <c r="FM8" s="35">
        <f t="shared" si="13"/>
        <v>27221</v>
      </c>
      <c r="FN8" s="35">
        <f t="shared" si="14"/>
        <v>81663</v>
      </c>
      <c r="FO8" s="35">
        <f t="shared" si="15"/>
        <v>326652</v>
      </c>
    </row>
    <row r="9" spans="1:171" x14ac:dyDescent="0.35">
      <c r="A9" s="34"/>
      <c r="B9" s="40"/>
      <c r="C9" s="58"/>
      <c r="D9" s="79" t="s">
        <v>124</v>
      </c>
      <c r="E9" s="40" t="s">
        <v>9</v>
      </c>
      <c r="F9" s="58" t="s">
        <v>18</v>
      </c>
      <c r="G9" s="58"/>
      <c r="H9" s="58"/>
      <c r="I9" s="58"/>
      <c r="J9" s="58"/>
      <c r="K9" s="35"/>
      <c r="L9" s="35"/>
      <c r="M9" s="35"/>
      <c r="N9" s="35"/>
      <c r="O9" s="35"/>
      <c r="P9" s="35"/>
      <c r="Q9" s="35"/>
      <c r="R9" s="35"/>
      <c r="S9" s="35"/>
      <c r="T9" s="35">
        <v>24480</v>
      </c>
      <c r="U9" s="35">
        <v>750</v>
      </c>
      <c r="V9" s="35">
        <v>734</v>
      </c>
      <c r="W9" s="35">
        <f t="shared" si="16"/>
        <v>25964</v>
      </c>
      <c r="X9" s="35"/>
      <c r="Y9" s="35"/>
      <c r="Z9" s="35"/>
      <c r="AA9" s="35"/>
      <c r="AB9" s="35"/>
      <c r="AC9" s="35"/>
      <c r="AD9" s="35"/>
      <c r="AE9" s="35"/>
      <c r="AF9" s="35"/>
      <c r="AG9" s="35">
        <v>24480</v>
      </c>
      <c r="AH9" s="35">
        <v>750</v>
      </c>
      <c r="AI9" s="35">
        <v>734</v>
      </c>
      <c r="AJ9" s="35">
        <f t="shared" si="0"/>
        <v>25964</v>
      </c>
      <c r="AK9" s="35"/>
      <c r="AL9" s="35"/>
      <c r="AM9" s="35"/>
      <c r="AN9" s="35"/>
      <c r="AO9" s="35"/>
      <c r="AP9" s="35"/>
      <c r="AQ9" s="35"/>
      <c r="AR9" s="35"/>
      <c r="AS9" s="35"/>
      <c r="AT9" s="35">
        <v>24480</v>
      </c>
      <c r="AU9" s="35">
        <v>750</v>
      </c>
      <c r="AV9" s="35">
        <v>734</v>
      </c>
      <c r="AW9" s="35">
        <f t="shared" si="1"/>
        <v>25964</v>
      </c>
      <c r="AX9" s="35">
        <f t="shared" si="2"/>
        <v>77892</v>
      </c>
      <c r="AY9" s="35"/>
      <c r="AZ9" s="35"/>
      <c r="BA9" s="35"/>
      <c r="BB9" s="35"/>
      <c r="BC9" s="35"/>
      <c r="BD9" s="35"/>
      <c r="BE9" s="35"/>
      <c r="BF9" s="35"/>
      <c r="BG9" s="35"/>
      <c r="BH9" s="35">
        <v>24480</v>
      </c>
      <c r="BI9" s="35">
        <v>750</v>
      </c>
      <c r="BJ9" s="35">
        <v>734</v>
      </c>
      <c r="BK9" s="35">
        <f t="shared" si="5"/>
        <v>25964</v>
      </c>
      <c r="BL9" s="35"/>
      <c r="BM9" s="35"/>
      <c r="BN9" s="35"/>
      <c r="BO9" s="35"/>
      <c r="BP9" s="35"/>
      <c r="BQ9" s="35"/>
      <c r="BR9" s="35"/>
      <c r="BS9" s="35"/>
      <c r="BT9" s="35"/>
      <c r="BU9" s="35">
        <v>24480</v>
      </c>
      <c r="BV9" s="35">
        <v>750</v>
      </c>
      <c r="BW9" s="35">
        <v>734</v>
      </c>
      <c r="BX9" s="35">
        <f t="shared" si="6"/>
        <v>25964</v>
      </c>
      <c r="BY9" s="35"/>
      <c r="BZ9" s="35"/>
      <c r="CA9" s="35"/>
      <c r="CB9" s="35"/>
      <c r="CC9" s="35"/>
      <c r="CD9" s="35"/>
      <c r="CE9" s="35"/>
      <c r="CF9" s="35"/>
      <c r="CG9" s="35"/>
      <c r="CH9" s="35">
        <v>24480</v>
      </c>
      <c r="CI9" s="35">
        <v>750</v>
      </c>
      <c r="CJ9" s="35">
        <v>734</v>
      </c>
      <c r="CK9" s="35">
        <f t="shared" si="7"/>
        <v>25964</v>
      </c>
      <c r="CL9" s="35">
        <f t="shared" si="8"/>
        <v>77892</v>
      </c>
      <c r="CM9" s="35"/>
      <c r="CN9" s="35"/>
      <c r="CO9" s="35"/>
      <c r="CP9" s="35"/>
      <c r="CQ9" s="35"/>
      <c r="CR9" s="35"/>
      <c r="CS9" s="35"/>
      <c r="CT9" s="35"/>
      <c r="CU9" s="35"/>
      <c r="CV9" s="35">
        <v>25700</v>
      </c>
      <c r="CW9" s="35">
        <v>750</v>
      </c>
      <c r="CX9" s="35">
        <v>771</v>
      </c>
      <c r="CY9" s="35">
        <f t="shared" si="9"/>
        <v>27221</v>
      </c>
      <c r="CZ9" s="35"/>
      <c r="DA9" s="35"/>
      <c r="DB9" s="35"/>
      <c r="DC9" s="35"/>
      <c r="DD9" s="35"/>
      <c r="DE9" s="35"/>
      <c r="DF9" s="35"/>
      <c r="DG9" s="35"/>
      <c r="DH9" s="35"/>
      <c r="DI9" s="35">
        <f>7320+25700</f>
        <v>33020</v>
      </c>
      <c r="DJ9" s="35">
        <v>750</v>
      </c>
      <c r="DK9" s="35">
        <f>222+771</f>
        <v>993</v>
      </c>
      <c r="DL9" s="35">
        <f t="shared" si="3"/>
        <v>34763</v>
      </c>
      <c r="DM9" s="35"/>
      <c r="DN9" s="35"/>
      <c r="DO9" s="35"/>
      <c r="DP9" s="35"/>
      <c r="DQ9" s="35"/>
      <c r="DR9" s="35"/>
      <c r="DS9" s="35"/>
      <c r="DT9" s="35"/>
      <c r="DU9" s="35"/>
      <c r="DV9" s="35">
        <v>25700</v>
      </c>
      <c r="DW9" s="35">
        <v>750</v>
      </c>
      <c r="DX9" s="35">
        <v>771</v>
      </c>
      <c r="DY9" s="35">
        <f t="shared" si="10"/>
        <v>27221</v>
      </c>
      <c r="DZ9" s="35">
        <f t="shared" si="11"/>
        <v>89205</v>
      </c>
      <c r="EA9" s="35"/>
      <c r="EB9" s="35"/>
      <c r="EC9" s="35"/>
      <c r="ED9" s="35"/>
      <c r="EE9" s="35"/>
      <c r="EF9" s="35"/>
      <c r="EG9" s="35"/>
      <c r="EH9" s="35"/>
      <c r="EI9" s="35"/>
      <c r="EJ9" s="35">
        <v>25700</v>
      </c>
      <c r="EK9" s="35">
        <v>750</v>
      </c>
      <c r="EL9" s="35">
        <v>771</v>
      </c>
      <c r="EM9" s="35">
        <f t="shared" si="12"/>
        <v>27221</v>
      </c>
      <c r="EN9" s="35"/>
      <c r="EO9" s="35"/>
      <c r="EP9" s="35"/>
      <c r="EQ9" s="35"/>
      <c r="ER9" s="35"/>
      <c r="ES9" s="35"/>
      <c r="ET9" s="35"/>
      <c r="EU9" s="35"/>
      <c r="EV9" s="35"/>
      <c r="EW9" s="35">
        <v>25700</v>
      </c>
      <c r="EX9" s="35">
        <v>750</v>
      </c>
      <c r="EY9" s="35">
        <v>771</v>
      </c>
      <c r="EZ9" s="35">
        <f t="shared" si="4"/>
        <v>27221</v>
      </c>
      <c r="FA9" s="35"/>
      <c r="FB9" s="35"/>
      <c r="FC9" s="35"/>
      <c r="FD9" s="35"/>
      <c r="FE9" s="35"/>
      <c r="FF9" s="35"/>
      <c r="FG9" s="35"/>
      <c r="FH9" s="35"/>
      <c r="FI9" s="35"/>
      <c r="FJ9" s="35">
        <v>25700</v>
      </c>
      <c r="FK9" s="35">
        <v>750</v>
      </c>
      <c r="FL9" s="35">
        <v>771</v>
      </c>
      <c r="FM9" s="35">
        <f t="shared" si="13"/>
        <v>27221</v>
      </c>
      <c r="FN9" s="35">
        <f t="shared" si="14"/>
        <v>81663</v>
      </c>
      <c r="FO9" s="35">
        <f t="shared" si="15"/>
        <v>326652</v>
      </c>
    </row>
    <row r="10" spans="1:171" x14ac:dyDescent="0.35">
      <c r="A10" s="34"/>
      <c r="B10" s="40"/>
      <c r="C10" s="58"/>
      <c r="D10" s="79" t="s">
        <v>125</v>
      </c>
      <c r="E10" s="40" t="s">
        <v>8</v>
      </c>
      <c r="F10" s="58" t="s">
        <v>18</v>
      </c>
      <c r="G10" s="58"/>
      <c r="H10" s="58"/>
      <c r="I10" s="58"/>
      <c r="J10" s="58"/>
      <c r="K10" s="35"/>
      <c r="L10" s="35"/>
      <c r="M10" s="35"/>
      <c r="N10" s="35"/>
      <c r="O10" s="35"/>
      <c r="P10" s="35"/>
      <c r="Q10" s="35">
        <v>31530</v>
      </c>
      <c r="R10" s="35">
        <v>750</v>
      </c>
      <c r="S10" s="35">
        <v>946</v>
      </c>
      <c r="T10" s="35"/>
      <c r="U10" s="35"/>
      <c r="V10" s="35"/>
      <c r="W10" s="35">
        <f t="shared" si="16"/>
        <v>33226</v>
      </c>
      <c r="X10" s="35"/>
      <c r="Y10" s="35"/>
      <c r="Z10" s="35"/>
      <c r="AA10" s="35"/>
      <c r="AB10" s="35"/>
      <c r="AC10" s="35"/>
      <c r="AD10" s="35">
        <v>31530</v>
      </c>
      <c r="AE10" s="35">
        <v>750</v>
      </c>
      <c r="AF10" s="35">
        <v>946</v>
      </c>
      <c r="AG10" s="35"/>
      <c r="AH10" s="35"/>
      <c r="AI10" s="35"/>
      <c r="AJ10" s="35">
        <f t="shared" si="0"/>
        <v>33226</v>
      </c>
      <c r="AK10" s="35"/>
      <c r="AL10" s="35"/>
      <c r="AM10" s="35"/>
      <c r="AN10" s="35"/>
      <c r="AO10" s="35"/>
      <c r="AP10" s="35"/>
      <c r="AQ10" s="35">
        <v>31530</v>
      </c>
      <c r="AR10" s="35">
        <v>750</v>
      </c>
      <c r="AS10" s="35">
        <v>946</v>
      </c>
      <c r="AT10" s="35"/>
      <c r="AU10" s="35"/>
      <c r="AV10" s="35"/>
      <c r="AW10" s="35">
        <f t="shared" si="1"/>
        <v>33226</v>
      </c>
      <c r="AX10" s="35">
        <f t="shared" si="2"/>
        <v>99678</v>
      </c>
      <c r="AY10" s="35"/>
      <c r="AZ10" s="35"/>
      <c r="BA10" s="35"/>
      <c r="BB10" s="35"/>
      <c r="BC10" s="35"/>
      <c r="BD10" s="35"/>
      <c r="BE10" s="35">
        <v>31530</v>
      </c>
      <c r="BF10" s="35">
        <v>750</v>
      </c>
      <c r="BG10" s="35">
        <v>946</v>
      </c>
      <c r="BH10" s="35"/>
      <c r="BI10" s="35"/>
      <c r="BJ10" s="35"/>
      <c r="BK10" s="35">
        <f t="shared" si="5"/>
        <v>33226</v>
      </c>
      <c r="BL10" s="35"/>
      <c r="BM10" s="35"/>
      <c r="BN10" s="35"/>
      <c r="BO10" s="35"/>
      <c r="BP10" s="35"/>
      <c r="BQ10" s="35"/>
      <c r="BR10" s="35">
        <v>31530</v>
      </c>
      <c r="BS10" s="35">
        <v>750</v>
      </c>
      <c r="BT10" s="35">
        <v>946</v>
      </c>
      <c r="BU10" s="35"/>
      <c r="BV10" s="35"/>
      <c r="BW10" s="35"/>
      <c r="BX10" s="35">
        <f t="shared" si="6"/>
        <v>33226</v>
      </c>
      <c r="BY10" s="35"/>
      <c r="BZ10" s="35"/>
      <c r="CA10" s="35"/>
      <c r="CB10" s="35"/>
      <c r="CC10" s="35"/>
      <c r="CD10" s="35"/>
      <c r="CE10" s="35">
        <v>31530</v>
      </c>
      <c r="CF10" s="35">
        <v>750</v>
      </c>
      <c r="CG10" s="35">
        <v>946</v>
      </c>
      <c r="CH10" s="35"/>
      <c r="CI10" s="35"/>
      <c r="CJ10" s="35"/>
      <c r="CK10" s="35">
        <f t="shared" si="7"/>
        <v>33226</v>
      </c>
      <c r="CL10" s="35">
        <f t="shared" si="8"/>
        <v>99678</v>
      </c>
      <c r="CM10" s="35"/>
      <c r="CN10" s="35"/>
      <c r="CO10" s="35"/>
      <c r="CP10" s="35"/>
      <c r="CQ10" s="35"/>
      <c r="CR10" s="35"/>
      <c r="CS10" s="35">
        <v>33110</v>
      </c>
      <c r="CT10" s="35">
        <v>750</v>
      </c>
      <c r="CU10" s="35">
        <v>993</v>
      </c>
      <c r="CV10" s="35"/>
      <c r="CW10" s="35"/>
      <c r="CX10" s="35"/>
      <c r="CY10" s="35">
        <f t="shared" si="9"/>
        <v>34853</v>
      </c>
      <c r="CZ10" s="35"/>
      <c r="DA10" s="35"/>
      <c r="DB10" s="35"/>
      <c r="DC10" s="35"/>
      <c r="DD10" s="35"/>
      <c r="DE10" s="35"/>
      <c r="DF10" s="35">
        <f>9480+33110</f>
        <v>42590</v>
      </c>
      <c r="DG10" s="35">
        <v>750</v>
      </c>
      <c r="DH10" s="35">
        <f>282+993</f>
        <v>1275</v>
      </c>
      <c r="DI10" s="35"/>
      <c r="DJ10" s="35"/>
      <c r="DK10" s="35"/>
      <c r="DL10" s="35">
        <f t="shared" si="3"/>
        <v>44615</v>
      </c>
      <c r="DM10" s="35"/>
      <c r="DN10" s="35"/>
      <c r="DO10" s="35"/>
      <c r="DP10" s="35"/>
      <c r="DQ10" s="35"/>
      <c r="DR10" s="35"/>
      <c r="DS10" s="35">
        <v>33110</v>
      </c>
      <c r="DT10" s="35">
        <v>750</v>
      </c>
      <c r="DU10" s="35">
        <v>993</v>
      </c>
      <c r="DV10" s="35"/>
      <c r="DW10" s="35"/>
      <c r="DX10" s="35"/>
      <c r="DY10" s="35">
        <f t="shared" si="10"/>
        <v>34853</v>
      </c>
      <c r="DZ10" s="35">
        <f t="shared" si="11"/>
        <v>114321</v>
      </c>
      <c r="EA10" s="35"/>
      <c r="EB10" s="35"/>
      <c r="EC10" s="35"/>
      <c r="ED10" s="35"/>
      <c r="EE10" s="35"/>
      <c r="EF10" s="35"/>
      <c r="EG10" s="35">
        <v>33110</v>
      </c>
      <c r="EH10" s="35">
        <v>750</v>
      </c>
      <c r="EI10" s="35">
        <v>993</v>
      </c>
      <c r="EJ10" s="35"/>
      <c r="EK10" s="35"/>
      <c r="EL10" s="35"/>
      <c r="EM10" s="35">
        <f t="shared" si="12"/>
        <v>34853</v>
      </c>
      <c r="EN10" s="35"/>
      <c r="EO10" s="35"/>
      <c r="EP10" s="35"/>
      <c r="EQ10" s="35"/>
      <c r="ER10" s="35"/>
      <c r="ES10" s="35"/>
      <c r="ET10" s="35">
        <v>33110</v>
      </c>
      <c r="EU10" s="35">
        <v>750</v>
      </c>
      <c r="EV10" s="35">
        <v>993</v>
      </c>
      <c r="EW10" s="35"/>
      <c r="EX10" s="35"/>
      <c r="EY10" s="35"/>
      <c r="EZ10" s="35">
        <f t="shared" si="4"/>
        <v>34853</v>
      </c>
      <c r="FA10" s="35"/>
      <c r="FB10" s="35"/>
      <c r="FC10" s="35"/>
      <c r="FD10" s="35"/>
      <c r="FE10" s="35"/>
      <c r="FF10" s="35"/>
      <c r="FG10" s="35">
        <v>33110</v>
      </c>
      <c r="FH10" s="35">
        <v>750</v>
      </c>
      <c r="FI10" s="35">
        <v>993</v>
      </c>
      <c r="FJ10" s="35"/>
      <c r="FK10" s="35"/>
      <c r="FL10" s="35"/>
      <c r="FM10" s="35">
        <f t="shared" si="13"/>
        <v>34853</v>
      </c>
      <c r="FN10" s="35">
        <f t="shared" si="14"/>
        <v>104559</v>
      </c>
      <c r="FO10" s="35">
        <f t="shared" si="15"/>
        <v>418236</v>
      </c>
    </row>
    <row r="11" spans="1:171" x14ac:dyDescent="0.35">
      <c r="A11" s="34"/>
      <c r="B11" s="40"/>
      <c r="C11" s="58"/>
      <c r="D11" s="79" t="s">
        <v>126</v>
      </c>
      <c r="E11" s="40" t="s">
        <v>8</v>
      </c>
      <c r="F11" s="58" t="s">
        <v>18</v>
      </c>
      <c r="G11" s="58"/>
      <c r="H11" s="58"/>
      <c r="I11" s="58"/>
      <c r="J11" s="58"/>
      <c r="K11" s="35"/>
      <c r="L11" s="35"/>
      <c r="M11" s="35"/>
      <c r="N11" s="35"/>
      <c r="O11" s="35"/>
      <c r="P11" s="35"/>
      <c r="Q11" s="35">
        <v>32070</v>
      </c>
      <c r="R11" s="35">
        <v>750</v>
      </c>
      <c r="S11" s="35">
        <v>962</v>
      </c>
      <c r="T11" s="35"/>
      <c r="U11" s="35"/>
      <c r="V11" s="35"/>
      <c r="W11" s="35">
        <f t="shared" si="16"/>
        <v>33782</v>
      </c>
      <c r="X11" s="35"/>
      <c r="Y11" s="35"/>
      <c r="Z11" s="35"/>
      <c r="AA11" s="35"/>
      <c r="AB11" s="35"/>
      <c r="AC11" s="35"/>
      <c r="AD11" s="35">
        <v>32070</v>
      </c>
      <c r="AE11" s="35">
        <v>750</v>
      </c>
      <c r="AF11" s="35">
        <v>962</v>
      </c>
      <c r="AG11" s="35"/>
      <c r="AH11" s="35"/>
      <c r="AI11" s="35"/>
      <c r="AJ11" s="35">
        <f t="shared" si="0"/>
        <v>33782</v>
      </c>
      <c r="AK11" s="35"/>
      <c r="AL11" s="35"/>
      <c r="AM11" s="35"/>
      <c r="AN11" s="35"/>
      <c r="AO11" s="35"/>
      <c r="AP11" s="35"/>
      <c r="AQ11" s="35">
        <v>32070</v>
      </c>
      <c r="AR11" s="35">
        <v>750</v>
      </c>
      <c r="AS11" s="35">
        <v>962</v>
      </c>
      <c r="AT11" s="35"/>
      <c r="AU11" s="35"/>
      <c r="AV11" s="35"/>
      <c r="AW11" s="35">
        <f t="shared" si="1"/>
        <v>33782</v>
      </c>
      <c r="AX11" s="35">
        <f t="shared" si="2"/>
        <v>101346</v>
      </c>
      <c r="AY11" s="35"/>
      <c r="AZ11" s="35"/>
      <c r="BA11" s="35"/>
      <c r="BB11" s="35"/>
      <c r="BC11" s="35"/>
      <c r="BD11" s="35"/>
      <c r="BE11" s="35">
        <v>32070</v>
      </c>
      <c r="BF11" s="35">
        <v>750</v>
      </c>
      <c r="BG11" s="35">
        <v>962</v>
      </c>
      <c r="BH11" s="35"/>
      <c r="BI11" s="35"/>
      <c r="BJ11" s="35"/>
      <c r="BK11" s="35">
        <f t="shared" si="5"/>
        <v>33782</v>
      </c>
      <c r="BL11" s="35"/>
      <c r="BM11" s="35"/>
      <c r="BN11" s="35"/>
      <c r="BO11" s="35"/>
      <c r="BP11" s="35"/>
      <c r="BQ11" s="35"/>
      <c r="BR11" s="35">
        <v>32070</v>
      </c>
      <c r="BS11" s="35">
        <v>750</v>
      </c>
      <c r="BT11" s="35">
        <v>962</v>
      </c>
      <c r="BU11" s="35"/>
      <c r="BV11" s="35"/>
      <c r="BW11" s="35"/>
      <c r="BX11" s="35">
        <f t="shared" si="6"/>
        <v>33782</v>
      </c>
      <c r="BY11" s="35"/>
      <c r="BZ11" s="35"/>
      <c r="CA11" s="35"/>
      <c r="CB11" s="35"/>
      <c r="CC11" s="35"/>
      <c r="CD11" s="35"/>
      <c r="CE11" s="35">
        <v>32070</v>
      </c>
      <c r="CF11" s="35">
        <v>750</v>
      </c>
      <c r="CG11" s="35">
        <v>962</v>
      </c>
      <c r="CH11" s="35"/>
      <c r="CI11" s="35"/>
      <c r="CJ11" s="35"/>
      <c r="CK11" s="35">
        <f t="shared" si="7"/>
        <v>33782</v>
      </c>
      <c r="CL11" s="35">
        <f t="shared" si="8"/>
        <v>101346</v>
      </c>
      <c r="CM11" s="35"/>
      <c r="CN11" s="35"/>
      <c r="CO11" s="35"/>
      <c r="CP11" s="35"/>
      <c r="CQ11" s="35"/>
      <c r="CR11" s="35"/>
      <c r="CS11" s="35">
        <v>33670</v>
      </c>
      <c r="CT11" s="35">
        <v>750</v>
      </c>
      <c r="CU11" s="35">
        <v>1010</v>
      </c>
      <c r="CV11" s="35"/>
      <c r="CW11" s="35"/>
      <c r="CX11" s="35"/>
      <c r="CY11" s="35">
        <f t="shared" si="9"/>
        <v>35430</v>
      </c>
      <c r="CZ11" s="35"/>
      <c r="DA11" s="35"/>
      <c r="DB11" s="35"/>
      <c r="DC11" s="35"/>
      <c r="DD11" s="35"/>
      <c r="DE11" s="35"/>
      <c r="DF11" s="35">
        <f>9600+33670</f>
        <v>43270</v>
      </c>
      <c r="DG11" s="35">
        <v>750</v>
      </c>
      <c r="DH11" s="35">
        <f>288+1010</f>
        <v>1298</v>
      </c>
      <c r="DI11" s="35"/>
      <c r="DJ11" s="35"/>
      <c r="DK11" s="35"/>
      <c r="DL11" s="35">
        <f t="shared" si="3"/>
        <v>45318</v>
      </c>
      <c r="DM11" s="35"/>
      <c r="DN11" s="35"/>
      <c r="DO11" s="35"/>
      <c r="DP11" s="35"/>
      <c r="DQ11" s="35"/>
      <c r="DR11" s="35"/>
      <c r="DS11" s="35">
        <v>33670</v>
      </c>
      <c r="DT11" s="35">
        <v>750</v>
      </c>
      <c r="DU11" s="35">
        <v>1010</v>
      </c>
      <c r="DV11" s="35"/>
      <c r="DW11" s="35"/>
      <c r="DX11" s="35"/>
      <c r="DY11" s="35">
        <f t="shared" si="10"/>
        <v>35430</v>
      </c>
      <c r="DZ11" s="35">
        <f t="shared" si="11"/>
        <v>116178</v>
      </c>
      <c r="EA11" s="35"/>
      <c r="EB11" s="35"/>
      <c r="EC11" s="35"/>
      <c r="ED11" s="35"/>
      <c r="EE11" s="35"/>
      <c r="EF11" s="35"/>
      <c r="EG11" s="35">
        <v>33670</v>
      </c>
      <c r="EH11" s="35">
        <v>750</v>
      </c>
      <c r="EI11" s="35">
        <v>1010</v>
      </c>
      <c r="EJ11" s="35"/>
      <c r="EK11" s="35"/>
      <c r="EL11" s="35"/>
      <c r="EM11" s="35">
        <f t="shared" si="12"/>
        <v>35430</v>
      </c>
      <c r="EN11" s="35"/>
      <c r="EO11" s="35"/>
      <c r="EP11" s="35"/>
      <c r="EQ11" s="35"/>
      <c r="ER11" s="35"/>
      <c r="ES11" s="35"/>
      <c r="ET11" s="35">
        <v>33670</v>
      </c>
      <c r="EU11" s="35">
        <v>750</v>
      </c>
      <c r="EV11" s="35">
        <v>1010</v>
      </c>
      <c r="EW11" s="35"/>
      <c r="EX11" s="35"/>
      <c r="EY11" s="35"/>
      <c r="EZ11" s="35">
        <f t="shared" si="4"/>
        <v>35430</v>
      </c>
      <c r="FA11" s="35"/>
      <c r="FB11" s="35"/>
      <c r="FC11" s="35"/>
      <c r="FD11" s="35"/>
      <c r="FE11" s="35"/>
      <c r="FF11" s="35"/>
      <c r="FG11" s="35">
        <v>33670</v>
      </c>
      <c r="FH11" s="35">
        <v>750</v>
      </c>
      <c r="FI11" s="35">
        <v>1010</v>
      </c>
      <c r="FJ11" s="35"/>
      <c r="FK11" s="35"/>
      <c r="FL11" s="35"/>
      <c r="FM11" s="35">
        <f t="shared" si="13"/>
        <v>35430</v>
      </c>
      <c r="FN11" s="35">
        <f t="shared" si="14"/>
        <v>106290</v>
      </c>
      <c r="FO11" s="35">
        <f t="shared" si="15"/>
        <v>425160</v>
      </c>
    </row>
    <row r="12" spans="1:171" x14ac:dyDescent="0.35">
      <c r="A12" s="34"/>
      <c r="B12" s="40"/>
      <c r="C12" s="58"/>
      <c r="D12" s="79" t="s">
        <v>127</v>
      </c>
      <c r="E12" s="40" t="s">
        <v>8</v>
      </c>
      <c r="F12" s="58" t="s">
        <v>18</v>
      </c>
      <c r="G12" s="58"/>
      <c r="H12" s="58"/>
      <c r="I12" s="58"/>
      <c r="J12" s="58"/>
      <c r="K12" s="35"/>
      <c r="L12" s="35"/>
      <c r="M12" s="35"/>
      <c r="N12" s="35"/>
      <c r="O12" s="35"/>
      <c r="P12" s="35"/>
      <c r="Q12" s="35">
        <v>32070</v>
      </c>
      <c r="R12" s="35">
        <v>750</v>
      </c>
      <c r="S12" s="35">
        <v>962</v>
      </c>
      <c r="T12" s="35"/>
      <c r="U12" s="35"/>
      <c r="V12" s="35"/>
      <c r="W12" s="35">
        <f t="shared" si="16"/>
        <v>33782</v>
      </c>
      <c r="X12" s="35"/>
      <c r="Y12" s="35"/>
      <c r="Z12" s="35"/>
      <c r="AA12" s="35"/>
      <c r="AB12" s="35"/>
      <c r="AC12" s="35"/>
      <c r="AD12" s="35">
        <v>32070</v>
      </c>
      <c r="AE12" s="35">
        <v>750</v>
      </c>
      <c r="AF12" s="35">
        <v>962</v>
      </c>
      <c r="AG12" s="35"/>
      <c r="AH12" s="35"/>
      <c r="AI12" s="35"/>
      <c r="AJ12" s="35">
        <f t="shared" si="0"/>
        <v>33782</v>
      </c>
      <c r="AK12" s="35"/>
      <c r="AL12" s="35"/>
      <c r="AM12" s="35"/>
      <c r="AN12" s="35"/>
      <c r="AO12" s="35"/>
      <c r="AP12" s="35"/>
      <c r="AQ12" s="35">
        <v>32070</v>
      </c>
      <c r="AR12" s="35">
        <v>750</v>
      </c>
      <c r="AS12" s="35">
        <v>962</v>
      </c>
      <c r="AT12" s="35"/>
      <c r="AU12" s="35"/>
      <c r="AV12" s="35"/>
      <c r="AW12" s="35">
        <f t="shared" si="1"/>
        <v>33782</v>
      </c>
      <c r="AX12" s="35">
        <f t="shared" si="2"/>
        <v>101346</v>
      </c>
      <c r="AY12" s="35"/>
      <c r="AZ12" s="35"/>
      <c r="BA12" s="35"/>
      <c r="BB12" s="35"/>
      <c r="BC12" s="35"/>
      <c r="BD12" s="35"/>
      <c r="BE12" s="35">
        <v>32070</v>
      </c>
      <c r="BF12" s="35">
        <v>750</v>
      </c>
      <c r="BG12" s="35">
        <v>962</v>
      </c>
      <c r="BH12" s="35"/>
      <c r="BI12" s="35"/>
      <c r="BJ12" s="35"/>
      <c r="BK12" s="35">
        <f t="shared" si="5"/>
        <v>33782</v>
      </c>
      <c r="BL12" s="35"/>
      <c r="BM12" s="35"/>
      <c r="BN12" s="35"/>
      <c r="BO12" s="35"/>
      <c r="BP12" s="35"/>
      <c r="BQ12" s="35"/>
      <c r="BR12" s="35">
        <v>32070</v>
      </c>
      <c r="BS12" s="35">
        <v>750</v>
      </c>
      <c r="BT12" s="35">
        <v>962</v>
      </c>
      <c r="BU12" s="35"/>
      <c r="BV12" s="35"/>
      <c r="BW12" s="35"/>
      <c r="BX12" s="35">
        <f t="shared" si="6"/>
        <v>33782</v>
      </c>
      <c r="BY12" s="35"/>
      <c r="BZ12" s="35"/>
      <c r="CA12" s="35"/>
      <c r="CB12" s="35"/>
      <c r="CC12" s="35"/>
      <c r="CD12" s="35"/>
      <c r="CE12" s="35">
        <v>32070</v>
      </c>
      <c r="CF12" s="35">
        <v>750</v>
      </c>
      <c r="CG12" s="35">
        <v>962</v>
      </c>
      <c r="CH12" s="35"/>
      <c r="CI12" s="35"/>
      <c r="CJ12" s="35"/>
      <c r="CK12" s="35">
        <f t="shared" si="7"/>
        <v>33782</v>
      </c>
      <c r="CL12" s="35">
        <f t="shared" si="8"/>
        <v>101346</v>
      </c>
      <c r="CM12" s="35"/>
      <c r="CN12" s="35"/>
      <c r="CO12" s="35"/>
      <c r="CP12" s="35"/>
      <c r="CQ12" s="35"/>
      <c r="CR12" s="35"/>
      <c r="CS12" s="35">
        <v>33670</v>
      </c>
      <c r="CT12" s="35">
        <v>750</v>
      </c>
      <c r="CU12" s="35">
        <v>1010</v>
      </c>
      <c r="CV12" s="35"/>
      <c r="CW12" s="35"/>
      <c r="CX12" s="35"/>
      <c r="CY12" s="35">
        <f t="shared" si="9"/>
        <v>35430</v>
      </c>
      <c r="CZ12" s="35"/>
      <c r="DA12" s="35"/>
      <c r="DB12" s="35"/>
      <c r="DC12" s="35"/>
      <c r="DD12" s="35"/>
      <c r="DE12" s="35"/>
      <c r="DF12" s="35">
        <f>9600+33670</f>
        <v>43270</v>
      </c>
      <c r="DG12" s="35">
        <v>750</v>
      </c>
      <c r="DH12" s="35">
        <f>288+1010</f>
        <v>1298</v>
      </c>
      <c r="DI12" s="35"/>
      <c r="DJ12" s="35"/>
      <c r="DK12" s="35"/>
      <c r="DL12" s="35">
        <f t="shared" si="3"/>
        <v>45318</v>
      </c>
      <c r="DM12" s="35"/>
      <c r="DN12" s="35"/>
      <c r="DO12" s="35"/>
      <c r="DP12" s="35"/>
      <c r="DQ12" s="35"/>
      <c r="DR12" s="35"/>
      <c r="DS12" s="35">
        <v>33670</v>
      </c>
      <c r="DT12" s="35">
        <v>750</v>
      </c>
      <c r="DU12" s="35">
        <v>1010</v>
      </c>
      <c r="DV12" s="35"/>
      <c r="DW12" s="35"/>
      <c r="DX12" s="35"/>
      <c r="DY12" s="35">
        <f t="shared" si="10"/>
        <v>35430</v>
      </c>
      <c r="DZ12" s="35">
        <f t="shared" si="11"/>
        <v>116178</v>
      </c>
      <c r="EA12" s="35"/>
      <c r="EB12" s="35"/>
      <c r="EC12" s="35"/>
      <c r="ED12" s="35"/>
      <c r="EE12" s="35"/>
      <c r="EF12" s="35"/>
      <c r="EG12" s="35">
        <v>33670</v>
      </c>
      <c r="EH12" s="35">
        <v>750</v>
      </c>
      <c r="EI12" s="35">
        <v>1010</v>
      </c>
      <c r="EJ12" s="35"/>
      <c r="EK12" s="35"/>
      <c r="EL12" s="35"/>
      <c r="EM12" s="35">
        <f t="shared" si="12"/>
        <v>35430</v>
      </c>
      <c r="EN12" s="35"/>
      <c r="EO12" s="35"/>
      <c r="EP12" s="35"/>
      <c r="EQ12" s="35"/>
      <c r="ER12" s="35"/>
      <c r="ES12" s="35"/>
      <c r="ET12" s="35">
        <v>33670</v>
      </c>
      <c r="EU12" s="35">
        <v>750</v>
      </c>
      <c r="EV12" s="35">
        <v>1010</v>
      </c>
      <c r="EW12" s="35"/>
      <c r="EX12" s="35"/>
      <c r="EY12" s="35"/>
      <c r="EZ12" s="35">
        <f t="shared" si="4"/>
        <v>35430</v>
      </c>
      <c r="FA12" s="35"/>
      <c r="FB12" s="35"/>
      <c r="FC12" s="35"/>
      <c r="FD12" s="35"/>
      <c r="FE12" s="35"/>
      <c r="FF12" s="35"/>
      <c r="FG12" s="35">
        <v>33670</v>
      </c>
      <c r="FH12" s="35">
        <v>750</v>
      </c>
      <c r="FI12" s="35">
        <v>1010</v>
      </c>
      <c r="FJ12" s="35"/>
      <c r="FK12" s="35"/>
      <c r="FL12" s="35"/>
      <c r="FM12" s="35">
        <f t="shared" si="13"/>
        <v>35430</v>
      </c>
      <c r="FN12" s="35">
        <f t="shared" si="14"/>
        <v>106290</v>
      </c>
      <c r="FO12" s="35">
        <f t="shared" si="15"/>
        <v>425160</v>
      </c>
    </row>
    <row r="13" spans="1:171" x14ac:dyDescent="0.35">
      <c r="A13" s="34"/>
      <c r="B13" s="40"/>
      <c r="C13" s="58"/>
      <c r="D13" s="79" t="s">
        <v>128</v>
      </c>
      <c r="E13" s="40" t="s">
        <v>8</v>
      </c>
      <c r="F13" s="58" t="s">
        <v>18</v>
      </c>
      <c r="G13" s="58"/>
      <c r="H13" s="58"/>
      <c r="I13" s="58"/>
      <c r="J13" s="58"/>
      <c r="K13" s="35"/>
      <c r="L13" s="35"/>
      <c r="M13" s="35"/>
      <c r="N13" s="35"/>
      <c r="O13" s="35"/>
      <c r="P13" s="35"/>
      <c r="Q13" s="35">
        <v>32070</v>
      </c>
      <c r="R13" s="35">
        <v>750</v>
      </c>
      <c r="S13" s="35">
        <v>962</v>
      </c>
      <c r="T13" s="35"/>
      <c r="U13" s="35"/>
      <c r="V13" s="35"/>
      <c r="W13" s="35">
        <f t="shared" si="16"/>
        <v>33782</v>
      </c>
      <c r="X13" s="35"/>
      <c r="Y13" s="35"/>
      <c r="Z13" s="35"/>
      <c r="AA13" s="35"/>
      <c r="AB13" s="35"/>
      <c r="AC13" s="35"/>
      <c r="AD13" s="35">
        <v>32070</v>
      </c>
      <c r="AE13" s="35">
        <v>750</v>
      </c>
      <c r="AF13" s="35">
        <v>962</v>
      </c>
      <c r="AG13" s="35"/>
      <c r="AH13" s="35"/>
      <c r="AI13" s="35"/>
      <c r="AJ13" s="35">
        <f t="shared" si="0"/>
        <v>33782</v>
      </c>
      <c r="AK13" s="35"/>
      <c r="AL13" s="35"/>
      <c r="AM13" s="35"/>
      <c r="AN13" s="35"/>
      <c r="AO13" s="35"/>
      <c r="AP13" s="35"/>
      <c r="AQ13" s="35">
        <v>32070</v>
      </c>
      <c r="AR13" s="35">
        <v>750</v>
      </c>
      <c r="AS13" s="35">
        <v>962</v>
      </c>
      <c r="AT13" s="35"/>
      <c r="AU13" s="35"/>
      <c r="AV13" s="35"/>
      <c r="AW13" s="35">
        <f t="shared" si="1"/>
        <v>33782</v>
      </c>
      <c r="AX13" s="35">
        <f t="shared" si="2"/>
        <v>101346</v>
      </c>
      <c r="AY13" s="35"/>
      <c r="AZ13" s="35"/>
      <c r="BA13" s="35"/>
      <c r="BB13" s="35"/>
      <c r="BC13" s="35"/>
      <c r="BD13" s="35"/>
      <c r="BE13" s="35">
        <v>32070</v>
      </c>
      <c r="BF13" s="35">
        <v>750</v>
      </c>
      <c r="BG13" s="35">
        <v>962</v>
      </c>
      <c r="BH13" s="35"/>
      <c r="BI13" s="35"/>
      <c r="BJ13" s="35"/>
      <c r="BK13" s="35">
        <f t="shared" si="5"/>
        <v>33782</v>
      </c>
      <c r="BL13" s="35"/>
      <c r="BM13" s="35"/>
      <c r="BN13" s="35"/>
      <c r="BO13" s="35"/>
      <c r="BP13" s="35"/>
      <c r="BQ13" s="35"/>
      <c r="BR13" s="35">
        <v>32070</v>
      </c>
      <c r="BS13" s="35">
        <v>750</v>
      </c>
      <c r="BT13" s="35">
        <v>962</v>
      </c>
      <c r="BU13" s="35"/>
      <c r="BV13" s="35"/>
      <c r="BW13" s="35"/>
      <c r="BX13" s="35">
        <f t="shared" si="6"/>
        <v>33782</v>
      </c>
      <c r="BY13" s="35"/>
      <c r="BZ13" s="35"/>
      <c r="CA13" s="35"/>
      <c r="CB13" s="35"/>
      <c r="CC13" s="35"/>
      <c r="CD13" s="35"/>
      <c r="CE13" s="35">
        <v>32070</v>
      </c>
      <c r="CF13" s="35">
        <v>750</v>
      </c>
      <c r="CG13" s="35">
        <v>962</v>
      </c>
      <c r="CH13" s="35"/>
      <c r="CI13" s="35"/>
      <c r="CJ13" s="35"/>
      <c r="CK13" s="35">
        <f t="shared" si="7"/>
        <v>33782</v>
      </c>
      <c r="CL13" s="35">
        <f t="shared" si="8"/>
        <v>101346</v>
      </c>
      <c r="CM13" s="35"/>
      <c r="CN13" s="35"/>
      <c r="CO13" s="35"/>
      <c r="CP13" s="35"/>
      <c r="CQ13" s="35"/>
      <c r="CR13" s="35"/>
      <c r="CS13" s="35">
        <v>33670</v>
      </c>
      <c r="CT13" s="35">
        <v>750</v>
      </c>
      <c r="CU13" s="35">
        <v>1010</v>
      </c>
      <c r="CV13" s="35"/>
      <c r="CW13" s="35"/>
      <c r="CX13" s="35"/>
      <c r="CY13" s="35">
        <f t="shared" si="9"/>
        <v>35430</v>
      </c>
      <c r="CZ13" s="35"/>
      <c r="DA13" s="35"/>
      <c r="DB13" s="35"/>
      <c r="DC13" s="35"/>
      <c r="DD13" s="35"/>
      <c r="DE13" s="35"/>
      <c r="DF13" s="35">
        <f>9600+33670</f>
        <v>43270</v>
      </c>
      <c r="DG13" s="35">
        <v>750</v>
      </c>
      <c r="DH13" s="35">
        <f>288+1010</f>
        <v>1298</v>
      </c>
      <c r="DI13" s="35"/>
      <c r="DJ13" s="35"/>
      <c r="DK13" s="35"/>
      <c r="DL13" s="35">
        <f t="shared" si="3"/>
        <v>45318</v>
      </c>
      <c r="DM13" s="35"/>
      <c r="DN13" s="35"/>
      <c r="DO13" s="35"/>
      <c r="DP13" s="35"/>
      <c r="DQ13" s="35"/>
      <c r="DR13" s="35"/>
      <c r="DS13" s="35">
        <v>33670</v>
      </c>
      <c r="DT13" s="35">
        <v>750</v>
      </c>
      <c r="DU13" s="35">
        <v>1010</v>
      </c>
      <c r="DV13" s="35"/>
      <c r="DW13" s="35"/>
      <c r="DX13" s="35"/>
      <c r="DY13" s="35">
        <f t="shared" si="10"/>
        <v>35430</v>
      </c>
      <c r="DZ13" s="35">
        <f t="shared" si="11"/>
        <v>116178</v>
      </c>
      <c r="EA13" s="35"/>
      <c r="EB13" s="35"/>
      <c r="EC13" s="35"/>
      <c r="ED13" s="35"/>
      <c r="EE13" s="35"/>
      <c r="EF13" s="35"/>
      <c r="EG13" s="35">
        <v>33670</v>
      </c>
      <c r="EH13" s="35">
        <v>750</v>
      </c>
      <c r="EI13" s="35">
        <v>1010</v>
      </c>
      <c r="EJ13" s="35"/>
      <c r="EK13" s="35"/>
      <c r="EL13" s="35"/>
      <c r="EM13" s="35">
        <f t="shared" si="12"/>
        <v>35430</v>
      </c>
      <c r="EN13" s="35"/>
      <c r="EO13" s="35"/>
      <c r="EP13" s="35"/>
      <c r="EQ13" s="35"/>
      <c r="ER13" s="35"/>
      <c r="ES13" s="35"/>
      <c r="ET13" s="35">
        <v>33670</v>
      </c>
      <c r="EU13" s="35">
        <v>750</v>
      </c>
      <c r="EV13" s="35">
        <v>1010</v>
      </c>
      <c r="EW13" s="35"/>
      <c r="EX13" s="35"/>
      <c r="EY13" s="35"/>
      <c r="EZ13" s="35">
        <f t="shared" si="4"/>
        <v>35430</v>
      </c>
      <c r="FA13" s="35"/>
      <c r="FB13" s="35"/>
      <c r="FC13" s="35"/>
      <c r="FD13" s="35"/>
      <c r="FE13" s="35"/>
      <c r="FF13" s="35"/>
      <c r="FG13" s="35">
        <v>33670</v>
      </c>
      <c r="FH13" s="35">
        <v>750</v>
      </c>
      <c r="FI13" s="35">
        <v>1010</v>
      </c>
      <c r="FJ13" s="35"/>
      <c r="FK13" s="35"/>
      <c r="FL13" s="35"/>
      <c r="FM13" s="35">
        <f t="shared" si="13"/>
        <v>35430</v>
      </c>
      <c r="FN13" s="35">
        <f t="shared" si="14"/>
        <v>106290</v>
      </c>
      <c r="FO13" s="35">
        <f t="shared" si="15"/>
        <v>425160</v>
      </c>
    </row>
    <row r="14" spans="1:171" x14ac:dyDescent="0.35">
      <c r="A14" s="34"/>
      <c r="B14" s="40"/>
      <c r="C14" s="58"/>
      <c r="D14" s="79" t="s">
        <v>129</v>
      </c>
      <c r="E14" s="40" t="s">
        <v>8</v>
      </c>
      <c r="F14" s="58" t="s">
        <v>18</v>
      </c>
      <c r="G14" s="58"/>
      <c r="H14" s="58"/>
      <c r="I14" s="58"/>
      <c r="J14" s="58"/>
      <c r="K14" s="35"/>
      <c r="L14" s="35"/>
      <c r="M14" s="35"/>
      <c r="N14" s="35"/>
      <c r="O14" s="35"/>
      <c r="P14" s="35"/>
      <c r="Q14" s="35">
        <v>32070</v>
      </c>
      <c r="R14" s="35">
        <v>750</v>
      </c>
      <c r="S14" s="35">
        <v>0</v>
      </c>
      <c r="T14" s="35"/>
      <c r="U14" s="35"/>
      <c r="V14" s="35"/>
      <c r="W14" s="35">
        <f t="shared" si="16"/>
        <v>32820</v>
      </c>
      <c r="X14" s="35"/>
      <c r="Y14" s="35"/>
      <c r="Z14" s="35"/>
      <c r="AA14" s="35"/>
      <c r="AB14" s="35"/>
      <c r="AC14" s="35"/>
      <c r="AD14" s="35">
        <v>32070</v>
      </c>
      <c r="AE14" s="35">
        <v>750</v>
      </c>
      <c r="AF14" s="35">
        <v>0</v>
      </c>
      <c r="AG14" s="35"/>
      <c r="AH14" s="35"/>
      <c r="AI14" s="35"/>
      <c r="AJ14" s="35">
        <f t="shared" si="0"/>
        <v>32820</v>
      </c>
      <c r="AK14" s="35"/>
      <c r="AL14" s="35"/>
      <c r="AM14" s="35"/>
      <c r="AN14" s="35"/>
      <c r="AO14" s="35"/>
      <c r="AP14" s="35"/>
      <c r="AQ14" s="35">
        <v>32070</v>
      </c>
      <c r="AR14" s="35">
        <v>750</v>
      </c>
      <c r="AS14" s="35">
        <v>0</v>
      </c>
      <c r="AT14" s="35"/>
      <c r="AU14" s="35"/>
      <c r="AV14" s="35"/>
      <c r="AW14" s="35">
        <f t="shared" si="1"/>
        <v>32820</v>
      </c>
      <c r="AX14" s="35">
        <f t="shared" si="2"/>
        <v>98460</v>
      </c>
      <c r="AY14" s="35"/>
      <c r="AZ14" s="35"/>
      <c r="BA14" s="35"/>
      <c r="BB14" s="35"/>
      <c r="BC14" s="35"/>
      <c r="BD14" s="35"/>
      <c r="BE14" s="35">
        <v>32070</v>
      </c>
      <c r="BF14" s="35">
        <v>750</v>
      </c>
      <c r="BG14" s="35">
        <v>0</v>
      </c>
      <c r="BH14" s="35"/>
      <c r="BI14" s="35"/>
      <c r="BJ14" s="35"/>
      <c r="BK14" s="35">
        <f t="shared" si="5"/>
        <v>32820</v>
      </c>
      <c r="BL14" s="35"/>
      <c r="BM14" s="35"/>
      <c r="BN14" s="35"/>
      <c r="BO14" s="35"/>
      <c r="BP14" s="35"/>
      <c r="BQ14" s="35"/>
      <c r="BR14" s="35">
        <v>32070</v>
      </c>
      <c r="BS14" s="35">
        <v>750</v>
      </c>
      <c r="BT14" s="35">
        <v>0</v>
      </c>
      <c r="BU14" s="35"/>
      <c r="BV14" s="35"/>
      <c r="BW14" s="35"/>
      <c r="BX14" s="35">
        <f t="shared" si="6"/>
        <v>32820</v>
      </c>
      <c r="BY14" s="35"/>
      <c r="BZ14" s="35"/>
      <c r="CA14" s="35"/>
      <c r="CB14" s="35"/>
      <c r="CC14" s="35"/>
      <c r="CD14" s="35"/>
      <c r="CE14" s="35">
        <v>32070</v>
      </c>
      <c r="CF14" s="35">
        <v>750</v>
      </c>
      <c r="CG14" s="35">
        <v>0</v>
      </c>
      <c r="CH14" s="35"/>
      <c r="CI14" s="35"/>
      <c r="CJ14" s="35"/>
      <c r="CK14" s="35">
        <f t="shared" si="7"/>
        <v>32820</v>
      </c>
      <c r="CL14" s="35">
        <f t="shared" si="8"/>
        <v>98460</v>
      </c>
      <c r="CM14" s="35"/>
      <c r="CN14" s="35"/>
      <c r="CO14" s="35"/>
      <c r="CP14" s="35"/>
      <c r="CQ14" s="35"/>
      <c r="CR14" s="35"/>
      <c r="CS14" s="35">
        <v>33670</v>
      </c>
      <c r="CT14" s="35">
        <v>750</v>
      </c>
      <c r="CU14" s="35">
        <v>0</v>
      </c>
      <c r="CV14" s="35"/>
      <c r="CW14" s="35"/>
      <c r="CX14" s="35"/>
      <c r="CY14" s="35">
        <f t="shared" si="9"/>
        <v>34420</v>
      </c>
      <c r="CZ14" s="35"/>
      <c r="DA14" s="35"/>
      <c r="DB14" s="35"/>
      <c r="DC14" s="35"/>
      <c r="DD14" s="35"/>
      <c r="DE14" s="35"/>
      <c r="DF14" s="35">
        <f>9600+33670</f>
        <v>43270</v>
      </c>
      <c r="DG14" s="35">
        <v>750</v>
      </c>
      <c r="DH14" s="35">
        <v>0</v>
      </c>
      <c r="DI14" s="35"/>
      <c r="DJ14" s="35"/>
      <c r="DK14" s="35"/>
      <c r="DL14" s="35">
        <f t="shared" si="3"/>
        <v>44020</v>
      </c>
      <c r="DM14" s="35"/>
      <c r="DN14" s="35"/>
      <c r="DO14" s="35"/>
      <c r="DP14" s="35"/>
      <c r="DQ14" s="35"/>
      <c r="DR14" s="35"/>
      <c r="DS14" s="35">
        <v>33670</v>
      </c>
      <c r="DT14" s="35">
        <v>750</v>
      </c>
      <c r="DU14" s="35">
        <v>0</v>
      </c>
      <c r="DV14" s="35"/>
      <c r="DW14" s="35"/>
      <c r="DX14" s="35"/>
      <c r="DY14" s="35">
        <f t="shared" si="10"/>
        <v>34420</v>
      </c>
      <c r="DZ14" s="35">
        <f t="shared" si="11"/>
        <v>112860</v>
      </c>
      <c r="EA14" s="35"/>
      <c r="EB14" s="35"/>
      <c r="EC14" s="35"/>
      <c r="ED14" s="35"/>
      <c r="EE14" s="35"/>
      <c r="EF14" s="35"/>
      <c r="EG14" s="35">
        <v>33670</v>
      </c>
      <c r="EH14" s="35">
        <v>750</v>
      </c>
      <c r="EI14" s="35">
        <v>0</v>
      </c>
      <c r="EJ14" s="35"/>
      <c r="EK14" s="35"/>
      <c r="EL14" s="35"/>
      <c r="EM14" s="35">
        <f t="shared" si="12"/>
        <v>34420</v>
      </c>
      <c r="EN14" s="35"/>
      <c r="EO14" s="35"/>
      <c r="EP14" s="35"/>
      <c r="EQ14" s="35"/>
      <c r="ER14" s="35"/>
      <c r="ES14" s="35"/>
      <c r="ET14" s="35">
        <v>33670</v>
      </c>
      <c r="EU14" s="35">
        <v>750</v>
      </c>
      <c r="EV14" s="35">
        <v>0</v>
      </c>
      <c r="EW14" s="35"/>
      <c r="EX14" s="35"/>
      <c r="EY14" s="35"/>
      <c r="EZ14" s="35">
        <f t="shared" si="4"/>
        <v>34420</v>
      </c>
      <c r="FA14" s="35"/>
      <c r="FB14" s="35"/>
      <c r="FC14" s="35"/>
      <c r="FD14" s="35"/>
      <c r="FE14" s="35"/>
      <c r="FF14" s="35"/>
      <c r="FG14" s="35">
        <v>33670</v>
      </c>
      <c r="FH14" s="35">
        <v>750</v>
      </c>
      <c r="FI14" s="35">
        <v>0</v>
      </c>
      <c r="FJ14" s="35"/>
      <c r="FK14" s="35"/>
      <c r="FL14" s="35"/>
      <c r="FM14" s="35">
        <f t="shared" si="13"/>
        <v>34420</v>
      </c>
      <c r="FN14" s="35">
        <f t="shared" si="14"/>
        <v>103260</v>
      </c>
      <c r="FO14" s="35">
        <f t="shared" si="15"/>
        <v>413040</v>
      </c>
    </row>
    <row r="15" spans="1:171" x14ac:dyDescent="0.35">
      <c r="A15" s="34"/>
      <c r="B15" s="40"/>
      <c r="C15" s="58"/>
      <c r="D15" s="79" t="s">
        <v>130</v>
      </c>
      <c r="E15" s="40" t="s">
        <v>9</v>
      </c>
      <c r="F15" s="58" t="s">
        <v>18</v>
      </c>
      <c r="G15" s="58"/>
      <c r="H15" s="58"/>
      <c r="I15" s="58"/>
      <c r="J15" s="58"/>
      <c r="K15" s="35"/>
      <c r="L15" s="35"/>
      <c r="M15" s="35"/>
      <c r="N15" s="35"/>
      <c r="O15" s="35"/>
      <c r="P15" s="35"/>
      <c r="Q15" s="35"/>
      <c r="R15" s="35"/>
      <c r="S15" s="35"/>
      <c r="T15" s="35">
        <v>23980</v>
      </c>
      <c r="U15" s="35">
        <v>750</v>
      </c>
      <c r="V15" s="35">
        <v>719</v>
      </c>
      <c r="W15" s="35">
        <f t="shared" si="16"/>
        <v>25449</v>
      </c>
      <c r="X15" s="35"/>
      <c r="Y15" s="35"/>
      <c r="Z15" s="35"/>
      <c r="AA15" s="35"/>
      <c r="AB15" s="35"/>
      <c r="AC15" s="35"/>
      <c r="AD15" s="35"/>
      <c r="AE15" s="35"/>
      <c r="AF15" s="35"/>
      <c r="AG15" s="35">
        <v>23980</v>
      </c>
      <c r="AH15" s="35">
        <v>750</v>
      </c>
      <c r="AI15" s="35">
        <v>719</v>
      </c>
      <c r="AJ15" s="35">
        <f t="shared" si="0"/>
        <v>25449</v>
      </c>
      <c r="AK15" s="35"/>
      <c r="AL15" s="35"/>
      <c r="AM15" s="35"/>
      <c r="AN15" s="35"/>
      <c r="AO15" s="35"/>
      <c r="AP15" s="35"/>
      <c r="AQ15" s="35"/>
      <c r="AR15" s="35"/>
      <c r="AS15" s="35"/>
      <c r="AT15" s="35">
        <v>23980</v>
      </c>
      <c r="AU15" s="35">
        <v>750</v>
      </c>
      <c r="AV15" s="35">
        <v>719</v>
      </c>
      <c r="AW15" s="35">
        <f t="shared" si="1"/>
        <v>25449</v>
      </c>
      <c r="AX15" s="35">
        <f t="shared" si="2"/>
        <v>76347</v>
      </c>
      <c r="AY15" s="35"/>
      <c r="AZ15" s="35"/>
      <c r="BA15" s="35"/>
      <c r="BB15" s="35"/>
      <c r="BC15" s="35"/>
      <c r="BD15" s="35"/>
      <c r="BE15" s="35"/>
      <c r="BF15" s="35"/>
      <c r="BG15" s="35"/>
      <c r="BH15" s="35">
        <v>23980</v>
      </c>
      <c r="BI15" s="35">
        <v>750</v>
      </c>
      <c r="BJ15" s="35">
        <v>719</v>
      </c>
      <c r="BK15" s="35">
        <f t="shared" si="5"/>
        <v>25449</v>
      </c>
      <c r="BL15" s="35"/>
      <c r="BM15" s="35"/>
      <c r="BN15" s="35"/>
      <c r="BO15" s="35"/>
      <c r="BP15" s="35"/>
      <c r="BQ15" s="35"/>
      <c r="BR15" s="35"/>
      <c r="BS15" s="35"/>
      <c r="BT15" s="35"/>
      <c r="BU15" s="35">
        <v>23980</v>
      </c>
      <c r="BV15" s="35">
        <v>750</v>
      </c>
      <c r="BW15" s="35">
        <v>719</v>
      </c>
      <c r="BX15" s="35">
        <f t="shared" si="6"/>
        <v>25449</v>
      </c>
      <c r="BY15" s="35"/>
      <c r="BZ15" s="35"/>
      <c r="CA15" s="35"/>
      <c r="CB15" s="35"/>
      <c r="CC15" s="35"/>
      <c r="CD15" s="35"/>
      <c r="CE15" s="35"/>
      <c r="CF15" s="35"/>
      <c r="CG15" s="35"/>
      <c r="CH15" s="35">
        <v>23980</v>
      </c>
      <c r="CI15" s="35">
        <v>750</v>
      </c>
      <c r="CJ15" s="35">
        <v>719</v>
      </c>
      <c r="CK15" s="35">
        <f t="shared" si="7"/>
        <v>25449</v>
      </c>
      <c r="CL15" s="35">
        <f t="shared" si="8"/>
        <v>76347</v>
      </c>
      <c r="CM15" s="35"/>
      <c r="CN15" s="35"/>
      <c r="CO15" s="35"/>
      <c r="CP15" s="35"/>
      <c r="CQ15" s="35"/>
      <c r="CR15" s="35"/>
      <c r="CS15" s="35"/>
      <c r="CT15" s="35"/>
      <c r="CU15" s="35"/>
      <c r="CV15" s="35">
        <v>25180</v>
      </c>
      <c r="CW15" s="35">
        <v>750</v>
      </c>
      <c r="CX15" s="35">
        <v>755</v>
      </c>
      <c r="CY15" s="35">
        <f t="shared" si="9"/>
        <v>26685</v>
      </c>
      <c r="CZ15" s="35"/>
      <c r="DA15" s="35"/>
      <c r="DB15" s="35"/>
      <c r="DC15" s="35"/>
      <c r="DD15" s="35"/>
      <c r="DE15" s="35"/>
      <c r="DF15" s="35"/>
      <c r="DG15" s="35"/>
      <c r="DH15" s="35"/>
      <c r="DI15" s="35">
        <f>7200+25180</f>
        <v>32380</v>
      </c>
      <c r="DJ15" s="35">
        <v>750</v>
      </c>
      <c r="DK15" s="35">
        <f>216+755</f>
        <v>971</v>
      </c>
      <c r="DL15" s="35">
        <f t="shared" si="3"/>
        <v>34101</v>
      </c>
      <c r="DM15" s="35"/>
      <c r="DN15" s="35"/>
      <c r="DO15" s="35"/>
      <c r="DP15" s="35"/>
      <c r="DQ15" s="35"/>
      <c r="DR15" s="35"/>
      <c r="DS15" s="35"/>
      <c r="DT15" s="35"/>
      <c r="DU15" s="35"/>
      <c r="DV15" s="35">
        <v>25180</v>
      </c>
      <c r="DW15" s="35">
        <v>750</v>
      </c>
      <c r="DX15" s="35">
        <v>755</v>
      </c>
      <c r="DY15" s="35">
        <f t="shared" si="10"/>
        <v>26685</v>
      </c>
      <c r="DZ15" s="35">
        <f t="shared" si="11"/>
        <v>87471</v>
      </c>
      <c r="EA15" s="35"/>
      <c r="EB15" s="35"/>
      <c r="EC15" s="35"/>
      <c r="ED15" s="35"/>
      <c r="EE15" s="35"/>
      <c r="EF15" s="35"/>
      <c r="EG15" s="35"/>
      <c r="EH15" s="35"/>
      <c r="EI15" s="35"/>
      <c r="EJ15" s="35">
        <v>25180</v>
      </c>
      <c r="EK15" s="35">
        <v>750</v>
      </c>
      <c r="EL15" s="35">
        <v>755</v>
      </c>
      <c r="EM15" s="35">
        <f t="shared" si="12"/>
        <v>26685</v>
      </c>
      <c r="EN15" s="35"/>
      <c r="EO15" s="35"/>
      <c r="EP15" s="35"/>
      <c r="EQ15" s="35"/>
      <c r="ER15" s="35"/>
      <c r="ES15" s="35"/>
      <c r="ET15" s="35"/>
      <c r="EU15" s="35"/>
      <c r="EV15" s="35"/>
      <c r="EW15" s="35">
        <v>25180</v>
      </c>
      <c r="EX15" s="35">
        <v>750</v>
      </c>
      <c r="EY15" s="35">
        <v>755</v>
      </c>
      <c r="EZ15" s="35">
        <f t="shared" si="4"/>
        <v>26685</v>
      </c>
      <c r="FA15" s="35"/>
      <c r="FB15" s="35"/>
      <c r="FC15" s="35"/>
      <c r="FD15" s="35"/>
      <c r="FE15" s="35"/>
      <c r="FF15" s="35"/>
      <c r="FG15" s="35"/>
      <c r="FH15" s="35"/>
      <c r="FI15" s="35"/>
      <c r="FJ15" s="35">
        <v>25180</v>
      </c>
      <c r="FK15" s="35">
        <v>750</v>
      </c>
      <c r="FL15" s="35">
        <v>755</v>
      </c>
      <c r="FM15" s="35">
        <f t="shared" si="13"/>
        <v>26685</v>
      </c>
      <c r="FN15" s="35">
        <f t="shared" si="14"/>
        <v>80055</v>
      </c>
      <c r="FO15" s="35">
        <f t="shared" si="15"/>
        <v>320220</v>
      </c>
    </row>
    <row r="16" spans="1:171" x14ac:dyDescent="0.35">
      <c r="A16" s="34"/>
      <c r="B16" s="40"/>
      <c r="C16" s="58"/>
      <c r="D16" s="79" t="s">
        <v>231</v>
      </c>
      <c r="E16" s="40" t="s">
        <v>8</v>
      </c>
      <c r="F16" s="58" t="s">
        <v>18</v>
      </c>
      <c r="G16" s="58" t="s">
        <v>361</v>
      </c>
      <c r="H16" s="58"/>
      <c r="I16" s="58">
        <v>947</v>
      </c>
      <c r="J16" s="58"/>
      <c r="K16" s="35"/>
      <c r="L16" s="35"/>
      <c r="M16" s="35"/>
      <c r="N16" s="35"/>
      <c r="O16" s="35"/>
      <c r="P16" s="35"/>
      <c r="Q16" s="35">
        <v>31560</v>
      </c>
      <c r="R16" s="35">
        <v>750</v>
      </c>
      <c r="S16" s="35">
        <f>947+947</f>
        <v>1894</v>
      </c>
      <c r="T16" s="35"/>
      <c r="U16" s="35"/>
      <c r="V16" s="35"/>
      <c r="W16" s="35">
        <f t="shared" si="16"/>
        <v>34204</v>
      </c>
      <c r="X16" s="35"/>
      <c r="Y16" s="35"/>
      <c r="Z16" s="35"/>
      <c r="AA16" s="35"/>
      <c r="AB16" s="35"/>
      <c r="AC16" s="35"/>
      <c r="AD16" s="35">
        <v>31560</v>
      </c>
      <c r="AE16" s="35">
        <v>750</v>
      </c>
      <c r="AF16" s="35">
        <f>947</f>
        <v>947</v>
      </c>
      <c r="AG16" s="35"/>
      <c r="AH16" s="35"/>
      <c r="AI16" s="35"/>
      <c r="AJ16" s="35">
        <f t="shared" si="0"/>
        <v>33257</v>
      </c>
      <c r="AK16" s="35"/>
      <c r="AL16" s="35"/>
      <c r="AM16" s="35"/>
      <c r="AN16" s="35"/>
      <c r="AO16" s="35"/>
      <c r="AP16" s="35"/>
      <c r="AQ16" s="35">
        <v>31560</v>
      </c>
      <c r="AR16" s="35">
        <v>750</v>
      </c>
      <c r="AS16" s="35">
        <f>947</f>
        <v>947</v>
      </c>
      <c r="AT16" s="35"/>
      <c r="AU16" s="35"/>
      <c r="AV16" s="35"/>
      <c r="AW16" s="35">
        <f t="shared" si="1"/>
        <v>33257</v>
      </c>
      <c r="AX16" s="35">
        <f t="shared" si="2"/>
        <v>100718</v>
      </c>
      <c r="AY16" s="35"/>
      <c r="AZ16" s="35"/>
      <c r="BA16" s="35"/>
      <c r="BB16" s="35"/>
      <c r="BC16" s="35"/>
      <c r="BD16" s="35"/>
      <c r="BE16" s="35">
        <v>31560</v>
      </c>
      <c r="BF16" s="35">
        <v>750</v>
      </c>
      <c r="BG16" s="35">
        <v>947</v>
      </c>
      <c r="BH16" s="35"/>
      <c r="BI16" s="35"/>
      <c r="BJ16" s="35"/>
      <c r="BK16" s="35">
        <f t="shared" si="5"/>
        <v>33257</v>
      </c>
      <c r="BL16" s="35"/>
      <c r="BM16" s="35"/>
      <c r="BN16" s="35"/>
      <c r="BO16" s="35"/>
      <c r="BP16" s="35"/>
      <c r="BQ16" s="35"/>
      <c r="BR16" s="35">
        <v>31560</v>
      </c>
      <c r="BS16" s="35">
        <v>750</v>
      </c>
      <c r="BT16" s="35">
        <v>947</v>
      </c>
      <c r="BU16" s="35"/>
      <c r="BV16" s="35"/>
      <c r="BW16" s="35"/>
      <c r="BX16" s="35">
        <f t="shared" si="6"/>
        <v>33257</v>
      </c>
      <c r="BY16" s="35"/>
      <c r="BZ16" s="35"/>
      <c r="CA16" s="35"/>
      <c r="CB16" s="35"/>
      <c r="CC16" s="35"/>
      <c r="CD16" s="35"/>
      <c r="CE16" s="35">
        <v>31560</v>
      </c>
      <c r="CF16" s="35">
        <v>750</v>
      </c>
      <c r="CG16" s="35">
        <v>947</v>
      </c>
      <c r="CH16" s="35"/>
      <c r="CI16" s="35"/>
      <c r="CJ16" s="35"/>
      <c r="CK16" s="35">
        <f t="shared" si="7"/>
        <v>33257</v>
      </c>
      <c r="CL16" s="35">
        <f t="shared" si="8"/>
        <v>99771</v>
      </c>
      <c r="CM16" s="35"/>
      <c r="CN16" s="35"/>
      <c r="CO16" s="35"/>
      <c r="CP16" s="35"/>
      <c r="CQ16" s="35"/>
      <c r="CR16" s="35"/>
      <c r="CS16" s="35">
        <v>33140</v>
      </c>
      <c r="CT16" s="35">
        <v>750</v>
      </c>
      <c r="CU16" s="35">
        <v>994</v>
      </c>
      <c r="CV16" s="35"/>
      <c r="CW16" s="35"/>
      <c r="CX16" s="35"/>
      <c r="CY16" s="35">
        <f t="shared" si="9"/>
        <v>34884</v>
      </c>
      <c r="CZ16" s="35"/>
      <c r="DA16" s="35"/>
      <c r="DB16" s="35"/>
      <c r="DC16" s="35"/>
      <c r="DD16" s="35"/>
      <c r="DE16" s="35"/>
      <c r="DF16" s="35">
        <f>9480+33140</f>
        <v>42620</v>
      </c>
      <c r="DG16" s="35">
        <v>750</v>
      </c>
      <c r="DH16" s="35">
        <f>282+994</f>
        <v>1276</v>
      </c>
      <c r="DI16" s="35"/>
      <c r="DJ16" s="35"/>
      <c r="DK16" s="35"/>
      <c r="DL16" s="35">
        <f t="shared" si="3"/>
        <v>44646</v>
      </c>
      <c r="DM16" s="35"/>
      <c r="DN16" s="35"/>
      <c r="DO16" s="35"/>
      <c r="DP16" s="35"/>
      <c r="DQ16" s="35"/>
      <c r="DR16" s="35"/>
      <c r="DS16" s="35">
        <v>33140</v>
      </c>
      <c r="DT16" s="35">
        <v>750</v>
      </c>
      <c r="DU16" s="35">
        <v>994</v>
      </c>
      <c r="DV16" s="35"/>
      <c r="DW16" s="35"/>
      <c r="DX16" s="35"/>
      <c r="DY16" s="35">
        <f t="shared" si="10"/>
        <v>34884</v>
      </c>
      <c r="DZ16" s="35">
        <f t="shared" si="11"/>
        <v>114414</v>
      </c>
      <c r="EA16" s="35"/>
      <c r="EB16" s="35"/>
      <c r="EC16" s="35"/>
      <c r="ED16" s="35"/>
      <c r="EE16" s="35"/>
      <c r="EF16" s="35"/>
      <c r="EG16" s="35">
        <v>33140</v>
      </c>
      <c r="EH16" s="35">
        <v>750</v>
      </c>
      <c r="EI16" s="35">
        <v>994</v>
      </c>
      <c r="EJ16" s="35"/>
      <c r="EK16" s="35"/>
      <c r="EL16" s="35"/>
      <c r="EM16" s="35">
        <f t="shared" si="12"/>
        <v>34884</v>
      </c>
      <c r="EN16" s="35"/>
      <c r="EO16" s="35"/>
      <c r="EP16" s="35"/>
      <c r="EQ16" s="35"/>
      <c r="ER16" s="35"/>
      <c r="ES16" s="35"/>
      <c r="ET16" s="35">
        <v>33140</v>
      </c>
      <c r="EU16" s="35">
        <v>750</v>
      </c>
      <c r="EV16" s="35">
        <v>994</v>
      </c>
      <c r="EW16" s="35"/>
      <c r="EX16" s="35"/>
      <c r="EY16" s="35"/>
      <c r="EZ16" s="35">
        <f t="shared" si="4"/>
        <v>34884</v>
      </c>
      <c r="FA16" s="35"/>
      <c r="FB16" s="35"/>
      <c r="FC16" s="35"/>
      <c r="FD16" s="35"/>
      <c r="FE16" s="35"/>
      <c r="FF16" s="35"/>
      <c r="FG16" s="35">
        <v>33140</v>
      </c>
      <c r="FH16" s="35">
        <v>750</v>
      </c>
      <c r="FI16" s="35">
        <v>994</v>
      </c>
      <c r="FJ16" s="35"/>
      <c r="FK16" s="35"/>
      <c r="FL16" s="35"/>
      <c r="FM16" s="35">
        <f t="shared" si="13"/>
        <v>34884</v>
      </c>
      <c r="FN16" s="35">
        <f t="shared" si="14"/>
        <v>104652</v>
      </c>
      <c r="FO16" s="35">
        <f t="shared" si="15"/>
        <v>419555</v>
      </c>
    </row>
    <row r="17" spans="1:171" x14ac:dyDescent="0.35">
      <c r="A17" s="34"/>
      <c r="B17" s="40"/>
      <c r="C17" s="58"/>
      <c r="D17" s="79" t="s">
        <v>131</v>
      </c>
      <c r="E17" s="40" t="s">
        <v>9</v>
      </c>
      <c r="F17" s="58" t="s">
        <v>18</v>
      </c>
      <c r="G17" s="58"/>
      <c r="H17" s="58"/>
      <c r="I17" s="58"/>
      <c r="J17" s="58"/>
      <c r="K17" s="35"/>
      <c r="L17" s="35"/>
      <c r="M17" s="35"/>
      <c r="N17" s="35"/>
      <c r="O17" s="35"/>
      <c r="P17" s="35"/>
      <c r="Q17" s="35"/>
      <c r="R17" s="35"/>
      <c r="S17" s="35"/>
      <c r="T17" s="35">
        <v>23980</v>
      </c>
      <c r="U17" s="35">
        <v>750</v>
      </c>
      <c r="V17" s="35">
        <v>719</v>
      </c>
      <c r="W17" s="35">
        <f t="shared" si="16"/>
        <v>25449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>
        <v>23980</v>
      </c>
      <c r="AH17" s="35">
        <v>750</v>
      </c>
      <c r="AI17" s="35">
        <v>719</v>
      </c>
      <c r="AJ17" s="35">
        <f t="shared" si="0"/>
        <v>25449</v>
      </c>
      <c r="AK17" s="35"/>
      <c r="AL17" s="35"/>
      <c r="AM17" s="35"/>
      <c r="AN17" s="35"/>
      <c r="AO17" s="35"/>
      <c r="AP17" s="35"/>
      <c r="AQ17" s="35"/>
      <c r="AR17" s="35"/>
      <c r="AS17" s="35"/>
      <c r="AT17" s="35">
        <v>23980</v>
      </c>
      <c r="AU17" s="35">
        <v>750</v>
      </c>
      <c r="AV17" s="35">
        <v>719</v>
      </c>
      <c r="AW17" s="35">
        <f t="shared" si="1"/>
        <v>25449</v>
      </c>
      <c r="AX17" s="35">
        <f t="shared" si="2"/>
        <v>76347</v>
      </c>
      <c r="AY17" s="35"/>
      <c r="AZ17" s="35"/>
      <c r="BA17" s="35"/>
      <c r="BB17" s="35"/>
      <c r="BC17" s="35"/>
      <c r="BD17" s="35"/>
      <c r="BE17" s="35"/>
      <c r="BF17" s="35"/>
      <c r="BG17" s="35"/>
      <c r="BH17" s="35">
        <v>23980</v>
      </c>
      <c r="BI17" s="35">
        <v>750</v>
      </c>
      <c r="BJ17" s="35">
        <v>719</v>
      </c>
      <c r="BK17" s="35">
        <f t="shared" si="5"/>
        <v>25449</v>
      </c>
      <c r="BL17" s="35"/>
      <c r="BM17" s="35"/>
      <c r="BN17" s="35"/>
      <c r="BO17" s="35"/>
      <c r="BP17" s="35"/>
      <c r="BQ17" s="35"/>
      <c r="BR17" s="35"/>
      <c r="BS17" s="35"/>
      <c r="BT17" s="35"/>
      <c r="BU17" s="35">
        <v>23980</v>
      </c>
      <c r="BV17" s="35">
        <v>750</v>
      </c>
      <c r="BW17" s="35">
        <v>719</v>
      </c>
      <c r="BX17" s="35">
        <f t="shared" si="6"/>
        <v>25449</v>
      </c>
      <c r="BY17" s="35"/>
      <c r="BZ17" s="35"/>
      <c r="CA17" s="35"/>
      <c r="CB17" s="35"/>
      <c r="CC17" s="35"/>
      <c r="CD17" s="35"/>
      <c r="CE17" s="35"/>
      <c r="CF17" s="35"/>
      <c r="CG17" s="35"/>
      <c r="CH17" s="35">
        <v>23980</v>
      </c>
      <c r="CI17" s="35">
        <v>750</v>
      </c>
      <c r="CJ17" s="35">
        <v>719</v>
      </c>
      <c r="CK17" s="35">
        <f t="shared" si="7"/>
        <v>25449</v>
      </c>
      <c r="CL17" s="35">
        <f t="shared" si="8"/>
        <v>76347</v>
      </c>
      <c r="CM17" s="35"/>
      <c r="CN17" s="35"/>
      <c r="CO17" s="35"/>
      <c r="CP17" s="35"/>
      <c r="CQ17" s="35"/>
      <c r="CR17" s="35"/>
      <c r="CS17" s="35"/>
      <c r="CT17" s="35"/>
      <c r="CU17" s="35"/>
      <c r="CV17" s="35">
        <v>25180</v>
      </c>
      <c r="CW17" s="35">
        <v>750</v>
      </c>
      <c r="CX17" s="35">
        <v>755</v>
      </c>
      <c r="CY17" s="35">
        <f t="shared" si="9"/>
        <v>26685</v>
      </c>
      <c r="CZ17" s="35"/>
      <c r="DA17" s="35"/>
      <c r="DB17" s="35"/>
      <c r="DC17" s="35"/>
      <c r="DD17" s="35"/>
      <c r="DE17" s="35"/>
      <c r="DF17" s="35"/>
      <c r="DG17" s="35"/>
      <c r="DH17" s="35"/>
      <c r="DI17" s="35">
        <f>7200+25180</f>
        <v>32380</v>
      </c>
      <c r="DJ17" s="35">
        <v>750</v>
      </c>
      <c r="DK17" s="35">
        <f>216+755</f>
        <v>971</v>
      </c>
      <c r="DL17" s="35">
        <f t="shared" si="3"/>
        <v>34101</v>
      </c>
      <c r="DM17" s="35"/>
      <c r="DN17" s="35"/>
      <c r="DO17" s="35"/>
      <c r="DP17" s="35"/>
      <c r="DQ17" s="35"/>
      <c r="DR17" s="35"/>
      <c r="DS17" s="35"/>
      <c r="DT17" s="35"/>
      <c r="DU17" s="35"/>
      <c r="DV17" s="35">
        <v>25180</v>
      </c>
      <c r="DW17" s="35">
        <v>750</v>
      </c>
      <c r="DX17" s="35">
        <v>755</v>
      </c>
      <c r="DY17" s="35">
        <f t="shared" si="10"/>
        <v>26685</v>
      </c>
      <c r="DZ17" s="35">
        <f t="shared" si="11"/>
        <v>87471</v>
      </c>
      <c r="EA17" s="35"/>
      <c r="EB17" s="35"/>
      <c r="EC17" s="35"/>
      <c r="ED17" s="35"/>
      <c r="EE17" s="35"/>
      <c r="EF17" s="35"/>
      <c r="EG17" s="35"/>
      <c r="EH17" s="35"/>
      <c r="EI17" s="35"/>
      <c r="EJ17" s="35">
        <v>25180</v>
      </c>
      <c r="EK17" s="35">
        <v>750</v>
      </c>
      <c r="EL17" s="35">
        <v>755</v>
      </c>
      <c r="EM17" s="35">
        <f t="shared" si="12"/>
        <v>26685</v>
      </c>
      <c r="EN17" s="35"/>
      <c r="EO17" s="35"/>
      <c r="EP17" s="35"/>
      <c r="EQ17" s="35"/>
      <c r="ER17" s="35"/>
      <c r="ES17" s="35"/>
      <c r="ET17" s="35"/>
      <c r="EU17" s="35"/>
      <c r="EV17" s="35"/>
      <c r="EW17" s="35">
        <v>25180</v>
      </c>
      <c r="EX17" s="35">
        <v>750</v>
      </c>
      <c r="EY17" s="35">
        <v>755</v>
      </c>
      <c r="EZ17" s="35">
        <f t="shared" si="4"/>
        <v>26685</v>
      </c>
      <c r="FA17" s="35"/>
      <c r="FB17" s="35"/>
      <c r="FC17" s="35"/>
      <c r="FD17" s="35"/>
      <c r="FE17" s="35"/>
      <c r="FF17" s="35"/>
      <c r="FG17" s="35"/>
      <c r="FH17" s="35"/>
      <c r="FI17" s="35"/>
      <c r="FJ17" s="35">
        <v>25180</v>
      </c>
      <c r="FK17" s="35">
        <v>750</v>
      </c>
      <c r="FL17" s="35">
        <v>755</v>
      </c>
      <c r="FM17" s="35">
        <f t="shared" si="13"/>
        <v>26685</v>
      </c>
      <c r="FN17" s="35">
        <f t="shared" si="14"/>
        <v>80055</v>
      </c>
      <c r="FO17" s="35">
        <f t="shared" si="15"/>
        <v>320220</v>
      </c>
    </row>
    <row r="18" spans="1:171" x14ac:dyDescent="0.35">
      <c r="A18" s="34"/>
      <c r="B18" s="40"/>
      <c r="C18" s="58"/>
      <c r="D18" s="79" t="s">
        <v>132</v>
      </c>
      <c r="E18" s="40" t="s">
        <v>8</v>
      </c>
      <c r="F18" s="58" t="s">
        <v>18</v>
      </c>
      <c r="G18" s="58"/>
      <c r="H18" s="58"/>
      <c r="I18" s="58"/>
      <c r="J18" s="58"/>
      <c r="K18" s="35"/>
      <c r="L18" s="35"/>
      <c r="M18" s="35"/>
      <c r="N18" s="35"/>
      <c r="O18" s="35"/>
      <c r="P18" s="35"/>
      <c r="Q18" s="35">
        <v>28120</v>
      </c>
      <c r="R18" s="35">
        <v>750</v>
      </c>
      <c r="S18" s="35">
        <v>0</v>
      </c>
      <c r="T18" s="35"/>
      <c r="U18" s="35"/>
      <c r="V18" s="35"/>
      <c r="W18" s="35">
        <f t="shared" si="16"/>
        <v>28870</v>
      </c>
      <c r="X18" s="35"/>
      <c r="Y18" s="35"/>
      <c r="Z18" s="35"/>
      <c r="AA18" s="35"/>
      <c r="AB18" s="35"/>
      <c r="AC18" s="35"/>
      <c r="AD18" s="35">
        <v>28120</v>
      </c>
      <c r="AE18" s="35">
        <v>750</v>
      </c>
      <c r="AF18" s="35">
        <v>0</v>
      </c>
      <c r="AG18" s="35"/>
      <c r="AH18" s="35"/>
      <c r="AI18" s="35"/>
      <c r="AJ18" s="35">
        <f t="shared" si="0"/>
        <v>28870</v>
      </c>
      <c r="AK18" s="35"/>
      <c r="AL18" s="35"/>
      <c r="AM18" s="35"/>
      <c r="AN18" s="35"/>
      <c r="AO18" s="35"/>
      <c r="AP18" s="35"/>
      <c r="AQ18" s="35">
        <v>28120</v>
      </c>
      <c r="AR18" s="35">
        <v>750</v>
      </c>
      <c r="AS18" s="35">
        <v>0</v>
      </c>
      <c r="AT18" s="35"/>
      <c r="AU18" s="35"/>
      <c r="AV18" s="35"/>
      <c r="AW18" s="35">
        <f t="shared" si="1"/>
        <v>28870</v>
      </c>
      <c r="AX18" s="35">
        <f t="shared" si="2"/>
        <v>86610</v>
      </c>
      <c r="AY18" s="35"/>
      <c r="AZ18" s="35"/>
      <c r="BA18" s="35"/>
      <c r="BB18" s="35"/>
      <c r="BC18" s="35"/>
      <c r="BD18" s="35"/>
      <c r="BE18" s="35">
        <v>28120</v>
      </c>
      <c r="BF18" s="35">
        <v>750</v>
      </c>
      <c r="BG18" s="35">
        <v>0</v>
      </c>
      <c r="BH18" s="35"/>
      <c r="BI18" s="35"/>
      <c r="BJ18" s="35"/>
      <c r="BK18" s="35">
        <f t="shared" si="5"/>
        <v>28870</v>
      </c>
      <c r="BL18" s="35"/>
      <c r="BM18" s="35"/>
      <c r="BN18" s="35"/>
      <c r="BO18" s="35"/>
      <c r="BP18" s="35"/>
      <c r="BQ18" s="35"/>
      <c r="BR18" s="35">
        <v>28120</v>
      </c>
      <c r="BS18" s="35">
        <v>750</v>
      </c>
      <c r="BT18" s="35">
        <v>0</v>
      </c>
      <c r="BU18" s="35"/>
      <c r="BV18" s="35"/>
      <c r="BW18" s="35"/>
      <c r="BX18" s="35">
        <f t="shared" si="6"/>
        <v>28870</v>
      </c>
      <c r="BY18" s="35"/>
      <c r="BZ18" s="35"/>
      <c r="CA18" s="35"/>
      <c r="CB18" s="35"/>
      <c r="CC18" s="35"/>
      <c r="CD18" s="35"/>
      <c r="CE18" s="35">
        <v>28120</v>
      </c>
      <c r="CF18" s="35">
        <v>750</v>
      </c>
      <c r="CG18" s="35">
        <v>0</v>
      </c>
      <c r="CH18" s="35"/>
      <c r="CI18" s="35"/>
      <c r="CJ18" s="35"/>
      <c r="CK18" s="35">
        <f t="shared" si="7"/>
        <v>28870</v>
      </c>
      <c r="CL18" s="35">
        <f t="shared" si="8"/>
        <v>86610</v>
      </c>
      <c r="CM18" s="35"/>
      <c r="CN18" s="35"/>
      <c r="CO18" s="35"/>
      <c r="CP18" s="35"/>
      <c r="CQ18" s="35"/>
      <c r="CR18" s="35"/>
      <c r="CS18" s="35">
        <v>29530</v>
      </c>
      <c r="CT18" s="35">
        <v>750</v>
      </c>
      <c r="CU18" s="35">
        <v>0</v>
      </c>
      <c r="CV18" s="35"/>
      <c r="CW18" s="35"/>
      <c r="CX18" s="35"/>
      <c r="CY18" s="35">
        <f t="shared" si="9"/>
        <v>30280</v>
      </c>
      <c r="CZ18" s="35"/>
      <c r="DA18" s="35"/>
      <c r="DB18" s="35"/>
      <c r="DC18" s="35"/>
      <c r="DD18" s="35"/>
      <c r="DE18" s="35"/>
      <c r="DF18" s="35">
        <f>8460+29530</f>
        <v>37990</v>
      </c>
      <c r="DG18" s="35">
        <v>750</v>
      </c>
      <c r="DH18" s="35">
        <v>0</v>
      </c>
      <c r="DI18" s="35"/>
      <c r="DJ18" s="35"/>
      <c r="DK18" s="35"/>
      <c r="DL18" s="35">
        <f t="shared" si="3"/>
        <v>38740</v>
      </c>
      <c r="DM18" s="35"/>
      <c r="DN18" s="35"/>
      <c r="DO18" s="35"/>
      <c r="DP18" s="35"/>
      <c r="DQ18" s="35"/>
      <c r="DR18" s="35"/>
      <c r="DS18" s="35">
        <v>29530</v>
      </c>
      <c r="DT18" s="35">
        <v>750</v>
      </c>
      <c r="DU18" s="35">
        <v>0</v>
      </c>
      <c r="DV18" s="35"/>
      <c r="DW18" s="35"/>
      <c r="DX18" s="35"/>
      <c r="DY18" s="35">
        <f t="shared" si="10"/>
        <v>30280</v>
      </c>
      <c r="DZ18" s="35">
        <f t="shared" si="11"/>
        <v>99300</v>
      </c>
      <c r="EA18" s="35"/>
      <c r="EB18" s="35"/>
      <c r="EC18" s="35"/>
      <c r="ED18" s="35"/>
      <c r="EE18" s="35"/>
      <c r="EF18" s="35"/>
      <c r="EG18" s="35">
        <v>29530</v>
      </c>
      <c r="EH18" s="35">
        <v>750</v>
      </c>
      <c r="EI18" s="35">
        <v>0</v>
      </c>
      <c r="EJ18" s="35"/>
      <c r="EK18" s="35"/>
      <c r="EL18" s="35"/>
      <c r="EM18" s="35">
        <f t="shared" si="12"/>
        <v>30280</v>
      </c>
      <c r="EN18" s="35"/>
      <c r="EO18" s="35"/>
      <c r="EP18" s="35"/>
      <c r="EQ18" s="35"/>
      <c r="ER18" s="35"/>
      <c r="ES18" s="35"/>
      <c r="ET18" s="35">
        <v>29530</v>
      </c>
      <c r="EU18" s="35">
        <v>750</v>
      </c>
      <c r="EV18" s="35">
        <v>0</v>
      </c>
      <c r="EW18" s="35"/>
      <c r="EX18" s="35"/>
      <c r="EY18" s="35"/>
      <c r="EZ18" s="35">
        <f t="shared" si="4"/>
        <v>30280</v>
      </c>
      <c r="FA18" s="35"/>
      <c r="FB18" s="35"/>
      <c r="FC18" s="35"/>
      <c r="FD18" s="35"/>
      <c r="FE18" s="35"/>
      <c r="FF18" s="35"/>
      <c r="FG18" s="35">
        <v>29530</v>
      </c>
      <c r="FH18" s="35">
        <v>750</v>
      </c>
      <c r="FI18" s="35">
        <v>0</v>
      </c>
      <c r="FJ18" s="35"/>
      <c r="FK18" s="35"/>
      <c r="FL18" s="35"/>
      <c r="FM18" s="35">
        <f t="shared" si="13"/>
        <v>30280</v>
      </c>
      <c r="FN18" s="35">
        <f t="shared" si="14"/>
        <v>90840</v>
      </c>
      <c r="FO18" s="35">
        <f t="shared" si="15"/>
        <v>363360</v>
      </c>
    </row>
    <row r="19" spans="1:171" x14ac:dyDescent="0.35">
      <c r="A19" s="34"/>
      <c r="B19" s="40"/>
      <c r="C19" s="58"/>
      <c r="D19" s="79" t="s">
        <v>133</v>
      </c>
      <c r="E19" s="40" t="s">
        <v>8</v>
      </c>
      <c r="F19" s="58" t="s">
        <v>18</v>
      </c>
      <c r="G19" s="58"/>
      <c r="H19" s="58"/>
      <c r="I19" s="58"/>
      <c r="J19" s="58"/>
      <c r="K19" s="35"/>
      <c r="L19" s="35"/>
      <c r="M19" s="35"/>
      <c r="N19" s="35"/>
      <c r="O19" s="35"/>
      <c r="P19" s="35"/>
      <c r="Q19" s="35">
        <v>27890</v>
      </c>
      <c r="R19" s="35">
        <v>750</v>
      </c>
      <c r="S19" s="35">
        <v>837</v>
      </c>
      <c r="T19" s="35"/>
      <c r="U19" s="35"/>
      <c r="V19" s="35"/>
      <c r="W19" s="35">
        <f>SUM(K19:V19)</f>
        <v>29477</v>
      </c>
      <c r="X19" s="35"/>
      <c r="Y19" s="35"/>
      <c r="Z19" s="35"/>
      <c r="AA19" s="35"/>
      <c r="AB19" s="35"/>
      <c r="AC19" s="35"/>
      <c r="AD19" s="35">
        <v>27890</v>
      </c>
      <c r="AE19" s="35">
        <v>750</v>
      </c>
      <c r="AF19" s="35">
        <v>837</v>
      </c>
      <c r="AG19" s="35"/>
      <c r="AH19" s="35"/>
      <c r="AI19" s="35"/>
      <c r="AJ19" s="35">
        <f t="shared" si="0"/>
        <v>29477</v>
      </c>
      <c r="AK19" s="35"/>
      <c r="AL19" s="35"/>
      <c r="AM19" s="35"/>
      <c r="AN19" s="35"/>
      <c r="AO19" s="35"/>
      <c r="AP19" s="35"/>
      <c r="AQ19" s="35">
        <v>27890</v>
      </c>
      <c r="AR19" s="35">
        <v>750</v>
      </c>
      <c r="AS19" s="35">
        <v>837</v>
      </c>
      <c r="AT19" s="35"/>
      <c r="AU19" s="35"/>
      <c r="AV19" s="35"/>
      <c r="AW19" s="35">
        <f t="shared" si="1"/>
        <v>29477</v>
      </c>
      <c r="AX19" s="35">
        <f t="shared" si="2"/>
        <v>88431</v>
      </c>
      <c r="AY19" s="35"/>
      <c r="AZ19" s="35"/>
      <c r="BA19" s="35"/>
      <c r="BB19" s="35"/>
      <c r="BC19" s="35"/>
      <c r="BD19" s="35"/>
      <c r="BE19" s="35">
        <v>27890</v>
      </c>
      <c r="BF19" s="35">
        <v>750</v>
      </c>
      <c r="BG19" s="35">
        <v>837</v>
      </c>
      <c r="BH19" s="35"/>
      <c r="BI19" s="35"/>
      <c r="BJ19" s="35"/>
      <c r="BK19" s="35">
        <f t="shared" si="5"/>
        <v>29477</v>
      </c>
      <c r="BL19" s="35"/>
      <c r="BM19" s="35"/>
      <c r="BN19" s="35"/>
      <c r="BO19" s="35"/>
      <c r="BP19" s="35"/>
      <c r="BQ19" s="35"/>
      <c r="BR19" s="35">
        <v>27890</v>
      </c>
      <c r="BS19" s="35">
        <v>750</v>
      </c>
      <c r="BT19" s="35">
        <v>837</v>
      </c>
      <c r="BU19" s="35"/>
      <c r="BV19" s="35"/>
      <c r="BW19" s="35"/>
      <c r="BX19" s="35">
        <f t="shared" si="6"/>
        <v>29477</v>
      </c>
      <c r="BY19" s="35"/>
      <c r="BZ19" s="35"/>
      <c r="CA19" s="35"/>
      <c r="CB19" s="35"/>
      <c r="CC19" s="35"/>
      <c r="CD19" s="35"/>
      <c r="CE19" s="35">
        <v>27890</v>
      </c>
      <c r="CF19" s="35">
        <v>750</v>
      </c>
      <c r="CG19" s="35">
        <v>837</v>
      </c>
      <c r="CH19" s="35"/>
      <c r="CI19" s="35"/>
      <c r="CJ19" s="35"/>
      <c r="CK19" s="35">
        <f t="shared" si="7"/>
        <v>29477</v>
      </c>
      <c r="CL19" s="35">
        <f t="shared" si="8"/>
        <v>88431</v>
      </c>
      <c r="CM19" s="35"/>
      <c r="CN19" s="35"/>
      <c r="CO19" s="35"/>
      <c r="CP19" s="35"/>
      <c r="CQ19" s="35"/>
      <c r="CR19" s="35"/>
      <c r="CS19" s="35">
        <v>29280</v>
      </c>
      <c r="CT19" s="35">
        <v>750</v>
      </c>
      <c r="CU19" s="35">
        <v>878</v>
      </c>
      <c r="CV19" s="35"/>
      <c r="CW19" s="35"/>
      <c r="CX19" s="35"/>
      <c r="CY19" s="35">
        <f t="shared" si="9"/>
        <v>30908</v>
      </c>
      <c r="CZ19" s="35"/>
      <c r="DA19" s="35"/>
      <c r="DB19" s="35"/>
      <c r="DC19" s="35"/>
      <c r="DD19" s="35"/>
      <c r="DE19" s="35"/>
      <c r="DF19" s="35">
        <f>8340+29280</f>
        <v>37620</v>
      </c>
      <c r="DG19" s="35">
        <v>750</v>
      </c>
      <c r="DH19" s="35">
        <f>252+878</f>
        <v>1130</v>
      </c>
      <c r="DI19" s="35"/>
      <c r="DJ19" s="35"/>
      <c r="DK19" s="35"/>
      <c r="DL19" s="35">
        <f t="shared" si="3"/>
        <v>39500</v>
      </c>
      <c r="DM19" s="35"/>
      <c r="DN19" s="35"/>
      <c r="DO19" s="35"/>
      <c r="DP19" s="35"/>
      <c r="DQ19" s="35"/>
      <c r="DR19" s="35"/>
      <c r="DS19" s="35">
        <v>29280</v>
      </c>
      <c r="DT19" s="35">
        <v>750</v>
      </c>
      <c r="DU19" s="35">
        <v>878</v>
      </c>
      <c r="DV19" s="35"/>
      <c r="DW19" s="35"/>
      <c r="DX19" s="35"/>
      <c r="DY19" s="35">
        <f t="shared" si="10"/>
        <v>30908</v>
      </c>
      <c r="DZ19" s="35">
        <f t="shared" si="11"/>
        <v>101316</v>
      </c>
      <c r="EA19" s="35"/>
      <c r="EB19" s="35"/>
      <c r="EC19" s="35"/>
      <c r="ED19" s="35"/>
      <c r="EE19" s="35"/>
      <c r="EF19" s="35"/>
      <c r="EG19" s="35">
        <v>29280</v>
      </c>
      <c r="EH19" s="35">
        <v>750</v>
      </c>
      <c r="EI19" s="35">
        <v>878</v>
      </c>
      <c r="EJ19" s="35"/>
      <c r="EK19" s="35"/>
      <c r="EL19" s="35"/>
      <c r="EM19" s="35">
        <f t="shared" si="12"/>
        <v>30908</v>
      </c>
      <c r="EN19" s="35"/>
      <c r="EO19" s="35"/>
      <c r="EP19" s="35"/>
      <c r="EQ19" s="35"/>
      <c r="ER19" s="35"/>
      <c r="ES19" s="35"/>
      <c r="ET19" s="35">
        <v>29280</v>
      </c>
      <c r="EU19" s="35">
        <v>750</v>
      </c>
      <c r="EV19" s="35">
        <v>878</v>
      </c>
      <c r="EW19" s="35"/>
      <c r="EX19" s="35"/>
      <c r="EY19" s="35"/>
      <c r="EZ19" s="35">
        <f t="shared" si="4"/>
        <v>30908</v>
      </c>
      <c r="FA19" s="35"/>
      <c r="FB19" s="35"/>
      <c r="FC19" s="35"/>
      <c r="FD19" s="35"/>
      <c r="FE19" s="35"/>
      <c r="FF19" s="35"/>
      <c r="FG19" s="35">
        <v>29280</v>
      </c>
      <c r="FH19" s="35">
        <v>750</v>
      </c>
      <c r="FI19" s="35">
        <v>878</v>
      </c>
      <c r="FJ19" s="35"/>
      <c r="FK19" s="35"/>
      <c r="FL19" s="35"/>
      <c r="FM19" s="35">
        <f t="shared" si="13"/>
        <v>30908</v>
      </c>
      <c r="FN19" s="35">
        <f t="shared" si="14"/>
        <v>92724</v>
      </c>
      <c r="FO19" s="35">
        <f t="shared" si="15"/>
        <v>370902</v>
      </c>
    </row>
    <row r="20" spans="1:171" x14ac:dyDescent="0.35">
      <c r="A20" s="34"/>
      <c r="B20" s="40"/>
      <c r="C20" s="58"/>
      <c r="D20" s="79" t="s">
        <v>239</v>
      </c>
      <c r="E20" s="40" t="s">
        <v>8</v>
      </c>
      <c r="F20" s="58" t="s">
        <v>18</v>
      </c>
      <c r="G20" s="58"/>
      <c r="H20" s="58"/>
      <c r="I20" s="58"/>
      <c r="J20" s="58"/>
      <c r="K20" s="35"/>
      <c r="L20" s="35"/>
      <c r="M20" s="35"/>
      <c r="N20" s="35"/>
      <c r="O20" s="35"/>
      <c r="P20" s="35"/>
      <c r="Q20" s="35">
        <v>23020</v>
      </c>
      <c r="R20" s="35">
        <v>750</v>
      </c>
      <c r="S20" s="35">
        <v>691</v>
      </c>
      <c r="T20" s="35"/>
      <c r="U20" s="35"/>
      <c r="V20" s="35"/>
      <c r="W20" s="35">
        <f>SUM(K20:V20)</f>
        <v>24461</v>
      </c>
      <c r="X20" s="35"/>
      <c r="Y20" s="35"/>
      <c r="Z20" s="35"/>
      <c r="AA20" s="35"/>
      <c r="AB20" s="35"/>
      <c r="AC20" s="35"/>
      <c r="AD20" s="35">
        <v>23020</v>
      </c>
      <c r="AE20" s="35">
        <v>750</v>
      </c>
      <c r="AF20" s="35">
        <v>691</v>
      </c>
      <c r="AG20" s="35"/>
      <c r="AH20" s="35"/>
      <c r="AI20" s="35"/>
      <c r="AJ20" s="35">
        <f>SUM(X20:AI20)</f>
        <v>24461</v>
      </c>
      <c r="AK20" s="35"/>
      <c r="AL20" s="35"/>
      <c r="AM20" s="35"/>
      <c r="AN20" s="35"/>
      <c r="AO20" s="35"/>
      <c r="AP20" s="35"/>
      <c r="AQ20" s="35">
        <v>23020</v>
      </c>
      <c r="AR20" s="35">
        <v>750</v>
      </c>
      <c r="AS20" s="35">
        <v>691</v>
      </c>
      <c r="AT20" s="35"/>
      <c r="AU20" s="35"/>
      <c r="AV20" s="35"/>
      <c r="AW20" s="35">
        <f>SUM(AK20:AV20)</f>
        <v>24461</v>
      </c>
      <c r="AX20" s="35">
        <f>+W20+AJ20+AW20</f>
        <v>73383</v>
      </c>
      <c r="AY20" s="35"/>
      <c r="AZ20" s="35"/>
      <c r="BA20" s="35"/>
      <c r="BB20" s="35"/>
      <c r="BC20" s="35"/>
      <c r="BD20" s="35"/>
      <c r="BE20" s="35">
        <v>23020</v>
      </c>
      <c r="BF20" s="35">
        <v>750</v>
      </c>
      <c r="BG20" s="35">
        <v>691</v>
      </c>
      <c r="BH20" s="35"/>
      <c r="BI20" s="35"/>
      <c r="BJ20" s="35"/>
      <c r="BK20" s="35">
        <f>SUM(AY20:BJ20)</f>
        <v>24461</v>
      </c>
      <c r="BL20" s="35"/>
      <c r="BM20" s="35"/>
      <c r="BN20" s="35"/>
      <c r="BO20" s="35"/>
      <c r="BP20" s="35"/>
      <c r="BQ20" s="35"/>
      <c r="BR20" s="35">
        <v>23020</v>
      </c>
      <c r="BS20" s="35">
        <v>750</v>
      </c>
      <c r="BT20" s="35">
        <v>691</v>
      </c>
      <c r="BU20" s="35"/>
      <c r="BV20" s="35"/>
      <c r="BW20" s="35"/>
      <c r="BX20" s="35">
        <f>SUM(BL20:BW20)</f>
        <v>24461</v>
      </c>
      <c r="BY20" s="35"/>
      <c r="BZ20" s="35"/>
      <c r="CA20" s="35"/>
      <c r="CB20" s="35"/>
      <c r="CC20" s="35"/>
      <c r="CD20" s="35"/>
      <c r="CE20" s="35">
        <v>23020</v>
      </c>
      <c r="CF20" s="35">
        <v>750</v>
      </c>
      <c r="CG20" s="35">
        <v>691</v>
      </c>
      <c r="CH20" s="35"/>
      <c r="CI20" s="35"/>
      <c r="CJ20" s="35"/>
      <c r="CK20" s="35">
        <f>SUM(BY20:CJ20)</f>
        <v>24461</v>
      </c>
      <c r="CL20" s="35">
        <f>+BK20+BX20+CK20</f>
        <v>73383</v>
      </c>
      <c r="CM20" s="35"/>
      <c r="CN20" s="35"/>
      <c r="CO20" s="35"/>
      <c r="CP20" s="35"/>
      <c r="CQ20" s="35"/>
      <c r="CR20" s="35"/>
      <c r="CS20" s="35">
        <v>24170</v>
      </c>
      <c r="CT20" s="35">
        <v>750</v>
      </c>
      <c r="CU20" s="35">
        <v>725</v>
      </c>
      <c r="CV20" s="35"/>
      <c r="CW20" s="35"/>
      <c r="CX20" s="35"/>
      <c r="CY20" s="35">
        <f>SUM(CM20:CX20)</f>
        <v>25645</v>
      </c>
      <c r="CZ20" s="35"/>
      <c r="DA20" s="35"/>
      <c r="DB20" s="35"/>
      <c r="DC20" s="35"/>
      <c r="DD20" s="35"/>
      <c r="DE20" s="35"/>
      <c r="DF20" s="35">
        <f>6900+24170</f>
        <v>31070</v>
      </c>
      <c r="DG20" s="35">
        <v>750</v>
      </c>
      <c r="DH20" s="35">
        <f>210+725</f>
        <v>935</v>
      </c>
      <c r="DI20" s="35"/>
      <c r="DJ20" s="35"/>
      <c r="DK20" s="35"/>
      <c r="DL20" s="35">
        <f>SUM(CZ20:DK20)</f>
        <v>32755</v>
      </c>
      <c r="DM20" s="35"/>
      <c r="DN20" s="35"/>
      <c r="DO20" s="35"/>
      <c r="DP20" s="35"/>
      <c r="DQ20" s="35"/>
      <c r="DR20" s="35"/>
      <c r="DS20" s="35">
        <v>24170</v>
      </c>
      <c r="DT20" s="35">
        <v>750</v>
      </c>
      <c r="DU20" s="35">
        <v>725</v>
      </c>
      <c r="DV20" s="35"/>
      <c r="DW20" s="35"/>
      <c r="DX20" s="35"/>
      <c r="DY20" s="35">
        <f>SUM(DM20:DX20)</f>
        <v>25645</v>
      </c>
      <c r="DZ20" s="35">
        <f>+CY20+DL20+DY20</f>
        <v>84045</v>
      </c>
      <c r="EA20" s="35"/>
      <c r="EB20" s="35"/>
      <c r="EC20" s="35"/>
      <c r="ED20" s="35"/>
      <c r="EE20" s="35"/>
      <c r="EF20" s="35"/>
      <c r="EG20" s="35">
        <v>24170</v>
      </c>
      <c r="EH20" s="35">
        <v>750</v>
      </c>
      <c r="EI20" s="35">
        <v>725</v>
      </c>
      <c r="EJ20" s="35"/>
      <c r="EK20" s="35"/>
      <c r="EL20" s="35"/>
      <c r="EM20" s="35">
        <f>SUM(EA20:EL20)</f>
        <v>25645</v>
      </c>
      <c r="EN20" s="35"/>
      <c r="EO20" s="35"/>
      <c r="EP20" s="35"/>
      <c r="EQ20" s="35"/>
      <c r="ER20" s="35"/>
      <c r="ES20" s="35"/>
      <c r="ET20" s="35">
        <v>24170</v>
      </c>
      <c r="EU20" s="35">
        <v>750</v>
      </c>
      <c r="EV20" s="35">
        <v>725</v>
      </c>
      <c r="EW20" s="35"/>
      <c r="EX20" s="35"/>
      <c r="EY20" s="35"/>
      <c r="EZ20" s="35">
        <f>SUM(EN20:EY20)</f>
        <v>25645</v>
      </c>
      <c r="FA20" s="35"/>
      <c r="FB20" s="35"/>
      <c r="FC20" s="35"/>
      <c r="FD20" s="35"/>
      <c r="FE20" s="35"/>
      <c r="FF20" s="35"/>
      <c r="FG20" s="35">
        <v>24170</v>
      </c>
      <c r="FH20" s="35">
        <v>750</v>
      </c>
      <c r="FI20" s="35">
        <v>725</v>
      </c>
      <c r="FJ20" s="35"/>
      <c r="FK20" s="35"/>
      <c r="FL20" s="35"/>
      <c r="FM20" s="35">
        <f>SUM(FA20:FL20)</f>
        <v>25645</v>
      </c>
      <c r="FN20" s="35">
        <f>+EM20+EZ20+FM20</f>
        <v>76935</v>
      </c>
      <c r="FO20" s="35">
        <f>+AX20+CL20+DZ20+FN20</f>
        <v>307746</v>
      </c>
    </row>
    <row r="21" spans="1:171" x14ac:dyDescent="0.35">
      <c r="A21" s="34"/>
      <c r="B21" s="40"/>
      <c r="C21" s="58"/>
      <c r="D21" s="41" t="s">
        <v>237</v>
      </c>
      <c r="E21" s="40" t="s">
        <v>8</v>
      </c>
      <c r="F21" s="58" t="s">
        <v>18</v>
      </c>
      <c r="G21" s="58"/>
      <c r="H21" s="58"/>
      <c r="I21" s="58"/>
      <c r="J21" s="58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>
        <f t="shared" ref="W21" si="17">SUM(K21:V21)</f>
        <v>0</v>
      </c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>
        <f t="shared" si="0"/>
        <v>0</v>
      </c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>
        <f t="shared" si="1"/>
        <v>0</v>
      </c>
      <c r="AX21" s="35">
        <f t="shared" si="2"/>
        <v>0</v>
      </c>
      <c r="AY21" s="35"/>
      <c r="AZ21" s="35"/>
      <c r="BA21" s="35"/>
      <c r="BB21" s="35"/>
      <c r="BC21" s="35"/>
      <c r="BD21" s="35"/>
      <c r="BE21" s="35">
        <v>0</v>
      </c>
      <c r="BF21" s="35">
        <v>0</v>
      </c>
      <c r="BG21" s="35">
        <v>0</v>
      </c>
      <c r="BH21" s="35"/>
      <c r="BI21" s="35"/>
      <c r="BJ21" s="35"/>
      <c r="BK21" s="35">
        <f t="shared" ref="BK21" si="18">SUM(AY21:BJ21)</f>
        <v>0</v>
      </c>
      <c r="BL21" s="35"/>
      <c r="BM21" s="35"/>
      <c r="BN21" s="35"/>
      <c r="BO21" s="35"/>
      <c r="BP21" s="35"/>
      <c r="BQ21" s="35"/>
      <c r="BR21" s="35">
        <v>0</v>
      </c>
      <c r="BS21" s="35">
        <v>0</v>
      </c>
      <c r="BT21" s="35">
        <v>0</v>
      </c>
      <c r="BU21" s="35"/>
      <c r="BV21" s="35"/>
      <c r="BW21" s="35"/>
      <c r="BX21" s="35">
        <f t="shared" ref="BX21:BX22" si="19">SUM(BL21:BW21)</f>
        <v>0</v>
      </c>
      <c r="BY21" s="35"/>
      <c r="BZ21" s="35"/>
      <c r="CA21" s="35"/>
      <c r="CB21" s="35"/>
      <c r="CC21" s="35"/>
      <c r="CD21" s="35"/>
      <c r="CE21" s="35">
        <v>0</v>
      </c>
      <c r="CF21" s="35">
        <v>0</v>
      </c>
      <c r="CG21" s="35">
        <v>0</v>
      </c>
      <c r="CH21" s="35"/>
      <c r="CI21" s="35"/>
      <c r="CJ21" s="35"/>
      <c r="CK21" s="35">
        <f t="shared" ref="CK21" si="20">SUM(BY21:CJ21)</f>
        <v>0</v>
      </c>
      <c r="CL21" s="35">
        <f t="shared" si="8"/>
        <v>0</v>
      </c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>
        <f t="shared" si="9"/>
        <v>0</v>
      </c>
      <c r="CZ21" s="35"/>
      <c r="DA21" s="35"/>
      <c r="DB21" s="35"/>
      <c r="DC21" s="35"/>
      <c r="DD21" s="35"/>
      <c r="DE21" s="35"/>
      <c r="DF21" s="35">
        <v>0</v>
      </c>
      <c r="DG21" s="35">
        <v>0</v>
      </c>
      <c r="DH21" s="35">
        <v>0</v>
      </c>
      <c r="DI21" s="35"/>
      <c r="DJ21" s="35"/>
      <c r="DK21" s="35"/>
      <c r="DL21" s="35">
        <f>SUM(CZ21:DK21)</f>
        <v>0</v>
      </c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>
        <f t="shared" si="10"/>
        <v>0</v>
      </c>
      <c r="DZ21" s="35">
        <f t="shared" si="11"/>
        <v>0</v>
      </c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>
        <f t="shared" si="12"/>
        <v>0</v>
      </c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>
        <f t="shared" ref="EZ21" si="21">SUM(EN21:EY21)</f>
        <v>0</v>
      </c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>
        <f t="shared" si="13"/>
        <v>0</v>
      </c>
      <c r="FN21" s="35">
        <f t="shared" si="14"/>
        <v>0</v>
      </c>
      <c r="FO21" s="35">
        <f t="shared" si="15"/>
        <v>0</v>
      </c>
    </row>
    <row r="22" spans="1:171" x14ac:dyDescent="0.35">
      <c r="A22" s="34"/>
      <c r="B22" s="40"/>
      <c r="C22" s="58"/>
      <c r="D22" s="41" t="s">
        <v>241</v>
      </c>
      <c r="E22" s="40" t="s">
        <v>8</v>
      </c>
      <c r="F22" s="58" t="s">
        <v>18</v>
      </c>
      <c r="G22" s="58"/>
      <c r="H22" s="58"/>
      <c r="I22" s="58"/>
      <c r="J22" s="58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>
        <f t="shared" ref="W22" si="22">SUM(K22:V22)</f>
        <v>0</v>
      </c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>
        <f t="shared" si="0"/>
        <v>0</v>
      </c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>
        <f t="shared" si="1"/>
        <v>0</v>
      </c>
      <c r="AX22" s="35">
        <f t="shared" si="2"/>
        <v>0</v>
      </c>
      <c r="AY22" s="35"/>
      <c r="AZ22" s="35"/>
      <c r="BA22" s="35"/>
      <c r="BB22" s="35"/>
      <c r="BC22" s="35"/>
      <c r="BD22" s="35"/>
      <c r="BE22" s="35">
        <v>0</v>
      </c>
      <c r="BF22" s="35">
        <v>0</v>
      </c>
      <c r="BG22" s="35">
        <v>0</v>
      </c>
      <c r="BH22" s="35"/>
      <c r="BI22" s="35"/>
      <c r="BJ22" s="35"/>
      <c r="BK22" s="35">
        <f t="shared" ref="BK22" si="23">SUM(AY22:BJ22)</f>
        <v>0</v>
      </c>
      <c r="BL22" s="35"/>
      <c r="BM22" s="35"/>
      <c r="BN22" s="35"/>
      <c r="BO22" s="35"/>
      <c r="BP22" s="35"/>
      <c r="BQ22" s="35"/>
      <c r="BR22" s="35">
        <v>0</v>
      </c>
      <c r="BS22" s="35">
        <v>0</v>
      </c>
      <c r="BT22" s="35">
        <v>0</v>
      </c>
      <c r="BU22" s="35"/>
      <c r="BV22" s="35"/>
      <c r="BW22" s="35"/>
      <c r="BX22" s="35">
        <f t="shared" si="19"/>
        <v>0</v>
      </c>
      <c r="BY22" s="35"/>
      <c r="BZ22" s="35"/>
      <c r="CA22" s="35"/>
      <c r="CB22" s="35"/>
      <c r="CC22" s="35"/>
      <c r="CD22" s="35"/>
      <c r="CE22" s="35">
        <v>0</v>
      </c>
      <c r="CF22" s="35">
        <v>0</v>
      </c>
      <c r="CG22" s="35">
        <v>0</v>
      </c>
      <c r="CH22" s="35"/>
      <c r="CI22" s="35"/>
      <c r="CJ22" s="35"/>
      <c r="CK22" s="35">
        <f t="shared" ref="CK22" si="24">SUM(BY22:CJ22)</f>
        <v>0</v>
      </c>
      <c r="CL22" s="35">
        <f t="shared" ref="CL22:CL23" si="25">+BK22+BX22+CK22</f>
        <v>0</v>
      </c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>
        <f t="shared" si="9"/>
        <v>0</v>
      </c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>
        <f t="shared" ref="DL22" si="26">SUM(CZ22:DK22)</f>
        <v>0</v>
      </c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>
        <f t="shared" si="10"/>
        <v>0</v>
      </c>
      <c r="DZ22" s="35">
        <f t="shared" si="11"/>
        <v>0</v>
      </c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>
        <f t="shared" si="12"/>
        <v>0</v>
      </c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>
        <f t="shared" ref="EZ22" si="27">SUM(EN22:EY22)</f>
        <v>0</v>
      </c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>
        <f t="shared" si="13"/>
        <v>0</v>
      </c>
      <c r="FN22" s="35">
        <f t="shared" si="14"/>
        <v>0</v>
      </c>
      <c r="FO22" s="35">
        <f t="shared" si="15"/>
        <v>0</v>
      </c>
    </row>
    <row r="23" spans="1:171" x14ac:dyDescent="0.35">
      <c r="A23" s="34"/>
      <c r="B23" s="40"/>
      <c r="C23" s="58"/>
      <c r="D23" s="41" t="s">
        <v>269</v>
      </c>
      <c r="E23" s="40" t="s">
        <v>8</v>
      </c>
      <c r="F23" s="58" t="s">
        <v>17</v>
      </c>
      <c r="G23" s="58"/>
      <c r="H23" s="58"/>
      <c r="I23" s="58"/>
      <c r="J23" s="58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ref="W23" si="28">SUM(K23:V23)</f>
        <v>0</v>
      </c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>
        <f t="shared" ref="AJ23" si="29">SUM(X23:AI23)</f>
        <v>0</v>
      </c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>
        <f t="shared" ref="AW23" si="30">SUM(AK23:AV23)</f>
        <v>0</v>
      </c>
      <c r="AX23" s="35">
        <f t="shared" ref="AX23" si="31">+W23+AJ23+AW23</f>
        <v>0</v>
      </c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>
        <f t="shared" ref="BK23" si="32">SUM(AY23:BJ23)</f>
        <v>0</v>
      </c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>
        <f t="shared" ref="BX23" si="33">SUM(BL23:BW23)</f>
        <v>0</v>
      </c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>
        <f t="shared" ref="CK23" si="34">SUM(BY23:CJ23)</f>
        <v>0</v>
      </c>
      <c r="CL23" s="35">
        <f t="shared" si="25"/>
        <v>0</v>
      </c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>
        <f t="shared" ref="CY23" si="35">SUM(CM23:CX23)</f>
        <v>0</v>
      </c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>
        <f t="shared" ref="DL23" si="36">SUM(CZ23:DK23)</f>
        <v>0</v>
      </c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>
        <f t="shared" ref="DY23" si="37">SUM(DM23:DX23)</f>
        <v>0</v>
      </c>
      <c r="DZ23" s="35">
        <f t="shared" ref="DZ23" si="38">+CY23+DL23+DY23</f>
        <v>0</v>
      </c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>
        <f t="shared" ref="EM23" si="39">SUM(EA23:EL23)</f>
        <v>0</v>
      </c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>
        <f t="shared" ref="EZ23" si="40">SUM(EN23:EY23)</f>
        <v>0</v>
      </c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>
        <f t="shared" ref="FM23" si="41">SUM(FA23:FL23)</f>
        <v>0</v>
      </c>
      <c r="FN23" s="35">
        <f t="shared" ref="FN23" si="42">+EM23+EZ23+FM23</f>
        <v>0</v>
      </c>
      <c r="FO23" s="35">
        <f t="shared" ref="FO23" si="43">+AX23+CL23+DZ23+FN23</f>
        <v>0</v>
      </c>
    </row>
    <row r="24" spans="1:171" x14ac:dyDescent="0.35">
      <c r="A24" s="34"/>
      <c r="B24" s="40"/>
      <c r="C24" s="58"/>
      <c r="D24" s="41"/>
      <c r="E24" s="58"/>
      <c r="F24" s="58"/>
      <c r="G24" s="58"/>
      <c r="H24" s="58"/>
      <c r="I24" s="58"/>
      <c r="J24" s="58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>
        <f t="shared" si="16"/>
        <v>0</v>
      </c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>
        <f t="shared" si="0"/>
        <v>0</v>
      </c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>
        <f t="shared" si="1"/>
        <v>0</v>
      </c>
      <c r="AX24" s="35">
        <f t="shared" si="2"/>
        <v>0</v>
      </c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>
        <f t="shared" si="5"/>
        <v>0</v>
      </c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>
        <f t="shared" si="6"/>
        <v>0</v>
      </c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>
        <f t="shared" si="7"/>
        <v>0</v>
      </c>
      <c r="CL24" s="35">
        <f t="shared" si="8"/>
        <v>0</v>
      </c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>
        <f t="shared" si="9"/>
        <v>0</v>
      </c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>
        <f t="shared" si="3"/>
        <v>0</v>
      </c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>
        <f t="shared" si="10"/>
        <v>0</v>
      </c>
      <c r="DZ24" s="35">
        <f t="shared" si="11"/>
        <v>0</v>
      </c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>
        <f t="shared" si="12"/>
        <v>0</v>
      </c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>
        <f t="shared" si="4"/>
        <v>0</v>
      </c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>
        <f t="shared" si="13"/>
        <v>0</v>
      </c>
      <c r="FN24" s="35">
        <f t="shared" si="14"/>
        <v>0</v>
      </c>
      <c r="FO24" s="35">
        <f t="shared" si="15"/>
        <v>0</v>
      </c>
    </row>
    <row r="25" spans="1:171" x14ac:dyDescent="0.35">
      <c r="A25" s="48"/>
      <c r="B25" s="49" t="s">
        <v>116</v>
      </c>
      <c r="C25" s="59"/>
      <c r="D25" s="50"/>
      <c r="E25" s="59"/>
      <c r="F25" s="59"/>
      <c r="G25" s="59"/>
      <c r="H25" s="59"/>
      <c r="I25" s="59"/>
      <c r="J25" s="59"/>
      <c r="K25" s="51">
        <f t="shared" ref="K25:V25" si="44">SUM(K6:K24)</f>
        <v>0</v>
      </c>
      <c r="L25" s="51">
        <f t="shared" si="44"/>
        <v>0</v>
      </c>
      <c r="M25" s="51">
        <f t="shared" si="44"/>
        <v>0</v>
      </c>
      <c r="N25" s="51">
        <f t="shared" si="44"/>
        <v>0</v>
      </c>
      <c r="O25" s="51">
        <f t="shared" si="44"/>
        <v>0</v>
      </c>
      <c r="P25" s="51">
        <f t="shared" si="44"/>
        <v>0</v>
      </c>
      <c r="Q25" s="51">
        <f t="shared" si="44"/>
        <v>336140</v>
      </c>
      <c r="R25" s="51">
        <f t="shared" si="44"/>
        <v>8250</v>
      </c>
      <c r="S25" s="51">
        <f t="shared" si="44"/>
        <v>9227</v>
      </c>
      <c r="T25" s="51">
        <f t="shared" si="44"/>
        <v>96920</v>
      </c>
      <c r="U25" s="51">
        <f t="shared" si="44"/>
        <v>3000</v>
      </c>
      <c r="V25" s="51">
        <f t="shared" si="44"/>
        <v>2906</v>
      </c>
      <c r="W25" s="51">
        <f t="shared" si="16"/>
        <v>456443</v>
      </c>
      <c r="X25" s="51">
        <f t="shared" ref="X25:AI25" si="45">SUM(X6:X24)</f>
        <v>0</v>
      </c>
      <c r="Y25" s="51">
        <f t="shared" si="45"/>
        <v>0</v>
      </c>
      <c r="Z25" s="51">
        <f t="shared" si="45"/>
        <v>0</v>
      </c>
      <c r="AA25" s="51">
        <f t="shared" si="45"/>
        <v>0</v>
      </c>
      <c r="AB25" s="51">
        <f t="shared" si="45"/>
        <v>0</v>
      </c>
      <c r="AC25" s="51">
        <f t="shared" si="45"/>
        <v>0</v>
      </c>
      <c r="AD25" s="51">
        <f t="shared" si="45"/>
        <v>336140</v>
      </c>
      <c r="AE25" s="51">
        <f t="shared" si="45"/>
        <v>8250</v>
      </c>
      <c r="AF25" s="51">
        <f t="shared" si="45"/>
        <v>8280</v>
      </c>
      <c r="AG25" s="51">
        <f t="shared" si="45"/>
        <v>96920</v>
      </c>
      <c r="AH25" s="51">
        <f t="shared" si="45"/>
        <v>3000</v>
      </c>
      <c r="AI25" s="51">
        <f t="shared" si="45"/>
        <v>2906</v>
      </c>
      <c r="AJ25" s="51">
        <f t="shared" si="0"/>
        <v>455496</v>
      </c>
      <c r="AK25" s="51">
        <f t="shared" ref="AK25:AV25" si="46">SUM(AK6:AK24)</f>
        <v>0</v>
      </c>
      <c r="AL25" s="51">
        <f t="shared" si="46"/>
        <v>0</v>
      </c>
      <c r="AM25" s="51">
        <f t="shared" si="46"/>
        <v>0</v>
      </c>
      <c r="AN25" s="51">
        <f t="shared" si="46"/>
        <v>0</v>
      </c>
      <c r="AO25" s="51">
        <f t="shared" si="46"/>
        <v>0</v>
      </c>
      <c r="AP25" s="51">
        <f t="shared" si="46"/>
        <v>0</v>
      </c>
      <c r="AQ25" s="51">
        <f t="shared" si="46"/>
        <v>336140</v>
      </c>
      <c r="AR25" s="51">
        <f t="shared" si="46"/>
        <v>8250</v>
      </c>
      <c r="AS25" s="51">
        <f t="shared" si="46"/>
        <v>8280</v>
      </c>
      <c r="AT25" s="51">
        <f t="shared" si="46"/>
        <v>96920</v>
      </c>
      <c r="AU25" s="51">
        <f t="shared" si="46"/>
        <v>3000</v>
      </c>
      <c r="AV25" s="51">
        <f t="shared" si="46"/>
        <v>2906</v>
      </c>
      <c r="AW25" s="51">
        <f t="shared" si="1"/>
        <v>455496</v>
      </c>
      <c r="AX25" s="51">
        <f t="shared" si="2"/>
        <v>1367435</v>
      </c>
      <c r="AY25" s="51">
        <f t="shared" ref="AY25:BJ25" si="47">SUM(AY6:AY24)</f>
        <v>0</v>
      </c>
      <c r="AZ25" s="51">
        <f t="shared" si="47"/>
        <v>0</v>
      </c>
      <c r="BA25" s="51">
        <f t="shared" si="47"/>
        <v>0</v>
      </c>
      <c r="BB25" s="51">
        <f t="shared" si="47"/>
        <v>0</v>
      </c>
      <c r="BC25" s="51">
        <f t="shared" si="47"/>
        <v>0</v>
      </c>
      <c r="BD25" s="51">
        <f t="shared" si="47"/>
        <v>0</v>
      </c>
      <c r="BE25" s="51">
        <f t="shared" si="47"/>
        <v>336140</v>
      </c>
      <c r="BF25" s="51">
        <f t="shared" si="47"/>
        <v>8250</v>
      </c>
      <c r="BG25" s="51">
        <f t="shared" si="47"/>
        <v>8280</v>
      </c>
      <c r="BH25" s="51">
        <f t="shared" si="47"/>
        <v>96920</v>
      </c>
      <c r="BI25" s="51">
        <f t="shared" si="47"/>
        <v>3000</v>
      </c>
      <c r="BJ25" s="51">
        <f t="shared" si="47"/>
        <v>2906</v>
      </c>
      <c r="BK25" s="51">
        <f>SUM(AY25:BJ25)</f>
        <v>455496</v>
      </c>
      <c r="BL25" s="51">
        <f t="shared" ref="BL25:BW25" si="48">SUM(BL6:BL24)</f>
        <v>0</v>
      </c>
      <c r="BM25" s="51">
        <f t="shared" si="48"/>
        <v>0</v>
      </c>
      <c r="BN25" s="51">
        <f t="shared" si="48"/>
        <v>0</v>
      </c>
      <c r="BO25" s="51">
        <f t="shared" si="48"/>
        <v>0</v>
      </c>
      <c r="BP25" s="51">
        <f t="shared" si="48"/>
        <v>0</v>
      </c>
      <c r="BQ25" s="51">
        <f t="shared" si="48"/>
        <v>0</v>
      </c>
      <c r="BR25" s="51">
        <f t="shared" si="48"/>
        <v>336140</v>
      </c>
      <c r="BS25" s="51">
        <f t="shared" si="48"/>
        <v>8250</v>
      </c>
      <c r="BT25" s="51">
        <f t="shared" si="48"/>
        <v>8280</v>
      </c>
      <c r="BU25" s="51">
        <f t="shared" si="48"/>
        <v>96920</v>
      </c>
      <c r="BV25" s="51">
        <f t="shared" si="48"/>
        <v>3000</v>
      </c>
      <c r="BW25" s="51">
        <f t="shared" si="48"/>
        <v>2906</v>
      </c>
      <c r="BX25" s="51">
        <f>SUM(BL25:BW25)</f>
        <v>455496</v>
      </c>
      <c r="BY25" s="51">
        <f t="shared" ref="BY25:CJ25" si="49">SUM(BY6:BY24)</f>
        <v>0</v>
      </c>
      <c r="BZ25" s="51">
        <f t="shared" si="49"/>
        <v>0</v>
      </c>
      <c r="CA25" s="51">
        <f t="shared" si="49"/>
        <v>0</v>
      </c>
      <c r="CB25" s="51">
        <f t="shared" si="49"/>
        <v>0</v>
      </c>
      <c r="CC25" s="51">
        <f t="shared" si="49"/>
        <v>0</v>
      </c>
      <c r="CD25" s="51">
        <f t="shared" si="49"/>
        <v>0</v>
      </c>
      <c r="CE25" s="51">
        <f t="shared" si="49"/>
        <v>336140</v>
      </c>
      <c r="CF25" s="51">
        <f t="shared" si="49"/>
        <v>8250</v>
      </c>
      <c r="CG25" s="51">
        <f t="shared" si="49"/>
        <v>8280</v>
      </c>
      <c r="CH25" s="51">
        <f t="shared" si="49"/>
        <v>96920</v>
      </c>
      <c r="CI25" s="51">
        <f t="shared" si="49"/>
        <v>3000</v>
      </c>
      <c r="CJ25" s="51">
        <f t="shared" si="49"/>
        <v>2906</v>
      </c>
      <c r="CK25" s="51">
        <f t="shared" si="7"/>
        <v>455496</v>
      </c>
      <c r="CL25" s="51">
        <f>+BK25+BX25+CK25</f>
        <v>1366488</v>
      </c>
      <c r="CM25" s="51">
        <f t="shared" ref="CM25:CX25" si="50">SUM(CM6:CM24)</f>
        <v>0</v>
      </c>
      <c r="CN25" s="51">
        <f t="shared" si="50"/>
        <v>0</v>
      </c>
      <c r="CO25" s="51">
        <f t="shared" si="50"/>
        <v>0</v>
      </c>
      <c r="CP25" s="51">
        <f t="shared" si="50"/>
        <v>0</v>
      </c>
      <c r="CQ25" s="51">
        <f t="shared" si="50"/>
        <v>0</v>
      </c>
      <c r="CR25" s="51">
        <f t="shared" si="50"/>
        <v>0</v>
      </c>
      <c r="CS25" s="51">
        <f t="shared" si="50"/>
        <v>352940</v>
      </c>
      <c r="CT25" s="51">
        <f t="shared" si="50"/>
        <v>8250</v>
      </c>
      <c r="CU25" s="51">
        <f t="shared" si="50"/>
        <v>8691</v>
      </c>
      <c r="CV25" s="51">
        <f t="shared" si="50"/>
        <v>101760</v>
      </c>
      <c r="CW25" s="51">
        <f t="shared" si="50"/>
        <v>3000</v>
      </c>
      <c r="CX25" s="51">
        <f t="shared" si="50"/>
        <v>3052</v>
      </c>
      <c r="CY25" s="51">
        <f t="shared" si="9"/>
        <v>477693</v>
      </c>
      <c r="CZ25" s="51">
        <f t="shared" ref="CZ25:DK25" si="51">SUM(CZ6:CZ24)</f>
        <v>0</v>
      </c>
      <c r="DA25" s="51">
        <f t="shared" si="51"/>
        <v>0</v>
      </c>
      <c r="DB25" s="51">
        <f t="shared" si="51"/>
        <v>0</v>
      </c>
      <c r="DC25" s="51">
        <f t="shared" si="51"/>
        <v>0</v>
      </c>
      <c r="DD25" s="51">
        <f t="shared" si="51"/>
        <v>0</v>
      </c>
      <c r="DE25" s="51">
        <f t="shared" si="51"/>
        <v>0</v>
      </c>
      <c r="DF25" s="51">
        <f t="shared" si="51"/>
        <v>453740</v>
      </c>
      <c r="DG25" s="51">
        <f t="shared" si="51"/>
        <v>8250</v>
      </c>
      <c r="DH25" s="51">
        <f t="shared" si="51"/>
        <v>11175</v>
      </c>
      <c r="DI25" s="51">
        <f t="shared" si="51"/>
        <v>130800</v>
      </c>
      <c r="DJ25" s="51">
        <f t="shared" si="51"/>
        <v>3000</v>
      </c>
      <c r="DK25" s="51">
        <f t="shared" si="51"/>
        <v>3928</v>
      </c>
      <c r="DL25" s="51">
        <f>SUM(CZ25:DK25)</f>
        <v>610893</v>
      </c>
      <c r="DM25" s="51">
        <f t="shared" ref="DM25:DX25" si="52">SUM(DM6:DM24)</f>
        <v>0</v>
      </c>
      <c r="DN25" s="51">
        <f t="shared" si="52"/>
        <v>0</v>
      </c>
      <c r="DO25" s="51">
        <f t="shared" si="52"/>
        <v>0</v>
      </c>
      <c r="DP25" s="51">
        <f t="shared" si="52"/>
        <v>0</v>
      </c>
      <c r="DQ25" s="51">
        <f t="shared" si="52"/>
        <v>0</v>
      </c>
      <c r="DR25" s="51">
        <f t="shared" si="52"/>
        <v>0</v>
      </c>
      <c r="DS25" s="51">
        <f t="shared" si="52"/>
        <v>352940</v>
      </c>
      <c r="DT25" s="51">
        <f t="shared" si="52"/>
        <v>8250</v>
      </c>
      <c r="DU25" s="51">
        <f t="shared" si="52"/>
        <v>8691</v>
      </c>
      <c r="DV25" s="51">
        <f t="shared" si="52"/>
        <v>101760</v>
      </c>
      <c r="DW25" s="51">
        <f t="shared" si="52"/>
        <v>3000</v>
      </c>
      <c r="DX25" s="51">
        <f t="shared" si="52"/>
        <v>3052</v>
      </c>
      <c r="DY25" s="51">
        <f t="shared" si="10"/>
        <v>477693</v>
      </c>
      <c r="DZ25" s="51">
        <f>+CY25+DL25+DY25</f>
        <v>1566279</v>
      </c>
      <c r="EA25" s="51">
        <f t="shared" ref="EA25:EL25" si="53">SUM(EA6:EA24)</f>
        <v>0</v>
      </c>
      <c r="EB25" s="51">
        <f t="shared" si="53"/>
        <v>0</v>
      </c>
      <c r="EC25" s="51">
        <f t="shared" si="53"/>
        <v>0</v>
      </c>
      <c r="ED25" s="51">
        <f t="shared" si="53"/>
        <v>0</v>
      </c>
      <c r="EE25" s="51">
        <f t="shared" si="53"/>
        <v>0</v>
      </c>
      <c r="EF25" s="51">
        <f t="shared" si="53"/>
        <v>0</v>
      </c>
      <c r="EG25" s="51">
        <f t="shared" si="53"/>
        <v>352940</v>
      </c>
      <c r="EH25" s="51">
        <f t="shared" si="53"/>
        <v>8250</v>
      </c>
      <c r="EI25" s="51">
        <f t="shared" si="53"/>
        <v>8691</v>
      </c>
      <c r="EJ25" s="51">
        <f t="shared" si="53"/>
        <v>101760</v>
      </c>
      <c r="EK25" s="51">
        <f t="shared" si="53"/>
        <v>3000</v>
      </c>
      <c r="EL25" s="51">
        <f t="shared" si="53"/>
        <v>3052</v>
      </c>
      <c r="EM25" s="51">
        <f t="shared" si="12"/>
        <v>477693</v>
      </c>
      <c r="EN25" s="51">
        <f t="shared" ref="EN25:EY25" si="54">SUM(EN6:EN24)</f>
        <v>0</v>
      </c>
      <c r="EO25" s="51">
        <f t="shared" si="54"/>
        <v>0</v>
      </c>
      <c r="EP25" s="51">
        <f t="shared" si="54"/>
        <v>0</v>
      </c>
      <c r="EQ25" s="51">
        <f t="shared" si="54"/>
        <v>0</v>
      </c>
      <c r="ER25" s="51">
        <f t="shared" si="54"/>
        <v>0</v>
      </c>
      <c r="ES25" s="51">
        <f t="shared" si="54"/>
        <v>0</v>
      </c>
      <c r="ET25" s="51">
        <f t="shared" si="54"/>
        <v>352940</v>
      </c>
      <c r="EU25" s="51">
        <f t="shared" si="54"/>
        <v>8250</v>
      </c>
      <c r="EV25" s="51">
        <f t="shared" si="54"/>
        <v>8691</v>
      </c>
      <c r="EW25" s="51">
        <f t="shared" si="54"/>
        <v>101760</v>
      </c>
      <c r="EX25" s="51">
        <f t="shared" si="54"/>
        <v>3000</v>
      </c>
      <c r="EY25" s="51">
        <f t="shared" si="54"/>
        <v>3052</v>
      </c>
      <c r="EZ25" s="51">
        <f>SUM(EN25:EY25)</f>
        <v>477693</v>
      </c>
      <c r="FA25" s="51">
        <f t="shared" ref="FA25:FL25" si="55">SUM(FA6:FA24)</f>
        <v>0</v>
      </c>
      <c r="FB25" s="51">
        <f t="shared" si="55"/>
        <v>0</v>
      </c>
      <c r="FC25" s="51">
        <f t="shared" si="55"/>
        <v>0</v>
      </c>
      <c r="FD25" s="51">
        <f t="shared" si="55"/>
        <v>0</v>
      </c>
      <c r="FE25" s="51">
        <f t="shared" si="55"/>
        <v>0</v>
      </c>
      <c r="FF25" s="51">
        <f t="shared" si="55"/>
        <v>0</v>
      </c>
      <c r="FG25" s="51">
        <f t="shared" si="55"/>
        <v>352940</v>
      </c>
      <c r="FH25" s="51">
        <f t="shared" si="55"/>
        <v>8250</v>
      </c>
      <c r="FI25" s="51">
        <f t="shared" si="55"/>
        <v>8691</v>
      </c>
      <c r="FJ25" s="51">
        <f t="shared" si="55"/>
        <v>101760</v>
      </c>
      <c r="FK25" s="51">
        <f t="shared" si="55"/>
        <v>3000</v>
      </c>
      <c r="FL25" s="51">
        <f t="shared" si="55"/>
        <v>3052</v>
      </c>
      <c r="FM25" s="51">
        <f t="shared" si="13"/>
        <v>477693</v>
      </c>
      <c r="FN25" s="51">
        <f>+EM25+EZ25+FM25</f>
        <v>1433079</v>
      </c>
      <c r="FO25" s="35">
        <f>+AX25+CL25+DZ25+FN25</f>
        <v>5733281</v>
      </c>
    </row>
    <row r="26" spans="1:171" x14ac:dyDescent="0.35">
      <c r="A26" s="34" t="s">
        <v>4</v>
      </c>
      <c r="B26" s="40" t="s">
        <v>117</v>
      </c>
      <c r="C26" s="58"/>
      <c r="D26" s="41"/>
      <c r="E26" s="58"/>
      <c r="F26" s="58"/>
      <c r="G26" s="58"/>
      <c r="H26" s="58"/>
      <c r="I26" s="58"/>
      <c r="J26" s="58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>
        <f t="shared" si="16"/>
        <v>0</v>
      </c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>
        <f t="shared" si="0"/>
        <v>0</v>
      </c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>
        <f t="shared" si="1"/>
        <v>0</v>
      </c>
      <c r="AX26" s="35">
        <f t="shared" si="2"/>
        <v>0</v>
      </c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>
        <f t="shared" si="5"/>
        <v>0</v>
      </c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>
        <f t="shared" si="6"/>
        <v>0</v>
      </c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>
        <f t="shared" si="7"/>
        <v>0</v>
      </c>
      <c r="CL26" s="35">
        <f t="shared" si="8"/>
        <v>0</v>
      </c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>
        <f t="shared" si="9"/>
        <v>0</v>
      </c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>
        <f t="shared" si="3"/>
        <v>0</v>
      </c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>
        <f t="shared" si="10"/>
        <v>0</v>
      </c>
      <c r="DZ26" s="35">
        <f t="shared" si="11"/>
        <v>0</v>
      </c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>
        <f t="shared" si="12"/>
        <v>0</v>
      </c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>
        <f t="shared" si="4"/>
        <v>0</v>
      </c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>
        <f t="shared" si="13"/>
        <v>0</v>
      </c>
      <c r="FN26" s="35">
        <f t="shared" si="14"/>
        <v>0</v>
      </c>
      <c r="FO26" s="35">
        <f t="shared" si="15"/>
        <v>0</v>
      </c>
    </row>
    <row r="27" spans="1:171" x14ac:dyDescent="0.35">
      <c r="A27" s="34"/>
      <c r="B27" s="40"/>
      <c r="C27" s="58"/>
      <c r="D27" s="79" t="s">
        <v>134</v>
      </c>
      <c r="E27" s="40" t="s">
        <v>8</v>
      </c>
      <c r="F27" s="58" t="s">
        <v>17</v>
      </c>
      <c r="G27" s="58"/>
      <c r="H27" s="58"/>
      <c r="I27" s="58"/>
      <c r="J27" s="58"/>
      <c r="K27" s="35">
        <v>32770</v>
      </c>
      <c r="L27" s="35">
        <v>750</v>
      </c>
      <c r="M27" s="35">
        <v>0</v>
      </c>
      <c r="N27" s="35"/>
      <c r="O27" s="35"/>
      <c r="P27" s="35"/>
      <c r="Q27" s="35"/>
      <c r="R27" s="35"/>
      <c r="S27" s="35"/>
      <c r="T27" s="35"/>
      <c r="U27" s="35"/>
      <c r="V27" s="35"/>
      <c r="W27" s="35">
        <f t="shared" si="16"/>
        <v>33520</v>
      </c>
      <c r="X27" s="35">
        <v>32770</v>
      </c>
      <c r="Y27" s="35">
        <v>750</v>
      </c>
      <c r="Z27" s="35">
        <v>0</v>
      </c>
      <c r="AA27" s="35"/>
      <c r="AB27" s="35"/>
      <c r="AC27" s="35"/>
      <c r="AD27" s="35"/>
      <c r="AE27" s="35"/>
      <c r="AF27" s="35"/>
      <c r="AG27" s="35"/>
      <c r="AH27" s="35"/>
      <c r="AI27" s="35"/>
      <c r="AJ27" s="35">
        <f t="shared" si="0"/>
        <v>33520</v>
      </c>
      <c r="AK27" s="35">
        <v>32770</v>
      </c>
      <c r="AL27" s="35">
        <v>750</v>
      </c>
      <c r="AM27" s="35">
        <v>0</v>
      </c>
      <c r="AN27" s="35"/>
      <c r="AO27" s="35"/>
      <c r="AP27" s="35"/>
      <c r="AQ27" s="35"/>
      <c r="AR27" s="35"/>
      <c r="AS27" s="35"/>
      <c r="AT27" s="35"/>
      <c r="AU27" s="35"/>
      <c r="AV27" s="35"/>
      <c r="AW27" s="35">
        <f t="shared" si="1"/>
        <v>33520</v>
      </c>
      <c r="AX27" s="35">
        <f t="shared" si="2"/>
        <v>100560</v>
      </c>
      <c r="AY27" s="35">
        <v>32770</v>
      </c>
      <c r="AZ27" s="35">
        <v>750</v>
      </c>
      <c r="BA27" s="35">
        <v>0</v>
      </c>
      <c r="BB27" s="35"/>
      <c r="BC27" s="35"/>
      <c r="BD27" s="35"/>
      <c r="BE27" s="35"/>
      <c r="BF27" s="35"/>
      <c r="BG27" s="35"/>
      <c r="BH27" s="35"/>
      <c r="BI27" s="35"/>
      <c r="BJ27" s="35"/>
      <c r="BK27" s="35">
        <f t="shared" si="5"/>
        <v>33520</v>
      </c>
      <c r="BL27" s="35">
        <v>32770</v>
      </c>
      <c r="BM27" s="35">
        <v>750</v>
      </c>
      <c r="BN27" s="35">
        <v>0</v>
      </c>
      <c r="BO27" s="35"/>
      <c r="BP27" s="35"/>
      <c r="BQ27" s="35"/>
      <c r="BR27" s="35"/>
      <c r="BS27" s="35"/>
      <c r="BT27" s="35"/>
      <c r="BU27" s="35"/>
      <c r="BV27" s="35"/>
      <c r="BW27" s="35"/>
      <c r="BX27" s="35">
        <f t="shared" si="6"/>
        <v>33520</v>
      </c>
      <c r="BY27" s="35">
        <v>32770</v>
      </c>
      <c r="BZ27" s="35">
        <v>750</v>
      </c>
      <c r="CA27" s="35">
        <v>0</v>
      </c>
      <c r="CB27" s="35"/>
      <c r="CC27" s="35"/>
      <c r="CD27" s="35"/>
      <c r="CE27" s="35"/>
      <c r="CF27" s="35"/>
      <c r="CG27" s="35"/>
      <c r="CH27" s="35"/>
      <c r="CI27" s="35"/>
      <c r="CJ27" s="35"/>
      <c r="CK27" s="35">
        <f t="shared" si="7"/>
        <v>33520</v>
      </c>
      <c r="CL27" s="35">
        <f t="shared" si="8"/>
        <v>100560</v>
      </c>
      <c r="CM27" s="35">
        <v>33750</v>
      </c>
      <c r="CN27" s="35">
        <v>750</v>
      </c>
      <c r="CO27" s="35">
        <v>0</v>
      </c>
      <c r="CP27" s="35"/>
      <c r="CQ27" s="35"/>
      <c r="CR27" s="35"/>
      <c r="CS27" s="35"/>
      <c r="CT27" s="35"/>
      <c r="CU27" s="35"/>
      <c r="CV27" s="35"/>
      <c r="CW27" s="35"/>
      <c r="CX27" s="35"/>
      <c r="CY27" s="35">
        <f t="shared" si="9"/>
        <v>34500</v>
      </c>
      <c r="CZ27" s="35">
        <f>5880+33750</f>
        <v>39630</v>
      </c>
      <c r="DA27" s="35">
        <v>750</v>
      </c>
      <c r="DB27" s="35">
        <v>0</v>
      </c>
      <c r="DC27" s="35"/>
      <c r="DD27" s="35"/>
      <c r="DE27" s="35"/>
      <c r="DF27" s="35"/>
      <c r="DG27" s="35"/>
      <c r="DH27" s="35"/>
      <c r="DI27" s="35"/>
      <c r="DJ27" s="35"/>
      <c r="DK27" s="35"/>
      <c r="DL27" s="35">
        <f t="shared" si="3"/>
        <v>40380</v>
      </c>
      <c r="DM27" s="35">
        <v>33750</v>
      </c>
      <c r="DN27" s="35">
        <v>750</v>
      </c>
      <c r="DO27" s="35">
        <v>0</v>
      </c>
      <c r="DP27" s="35"/>
      <c r="DQ27" s="35"/>
      <c r="DR27" s="35"/>
      <c r="DS27" s="35"/>
      <c r="DT27" s="35"/>
      <c r="DU27" s="35"/>
      <c r="DV27" s="35"/>
      <c r="DW27" s="35"/>
      <c r="DX27" s="35"/>
      <c r="DY27" s="35">
        <f t="shared" si="10"/>
        <v>34500</v>
      </c>
      <c r="DZ27" s="35">
        <f t="shared" si="11"/>
        <v>109380</v>
      </c>
      <c r="EA27" s="35">
        <v>33750</v>
      </c>
      <c r="EB27" s="35">
        <v>750</v>
      </c>
      <c r="EC27" s="35">
        <v>0</v>
      </c>
      <c r="ED27" s="35"/>
      <c r="EE27" s="35"/>
      <c r="EF27" s="35"/>
      <c r="EG27" s="35"/>
      <c r="EH27" s="35"/>
      <c r="EI27" s="35"/>
      <c r="EJ27" s="35"/>
      <c r="EK27" s="35"/>
      <c r="EL27" s="35"/>
      <c r="EM27" s="35">
        <f t="shared" si="12"/>
        <v>34500</v>
      </c>
      <c r="EN27" s="35">
        <v>33750</v>
      </c>
      <c r="EO27" s="35">
        <v>750</v>
      </c>
      <c r="EP27" s="35">
        <v>0</v>
      </c>
      <c r="EQ27" s="35"/>
      <c r="ER27" s="35"/>
      <c r="ES27" s="35"/>
      <c r="ET27" s="35"/>
      <c r="EU27" s="35"/>
      <c r="EV27" s="35"/>
      <c r="EW27" s="35"/>
      <c r="EX27" s="35"/>
      <c r="EY27" s="35"/>
      <c r="EZ27" s="35">
        <f t="shared" si="4"/>
        <v>34500</v>
      </c>
      <c r="FA27" s="35">
        <v>33750</v>
      </c>
      <c r="FB27" s="35">
        <v>750</v>
      </c>
      <c r="FC27" s="35">
        <v>0</v>
      </c>
      <c r="FD27" s="35"/>
      <c r="FE27" s="35"/>
      <c r="FF27" s="35"/>
      <c r="FG27" s="35"/>
      <c r="FH27" s="35"/>
      <c r="FI27" s="35"/>
      <c r="FJ27" s="35"/>
      <c r="FK27" s="35"/>
      <c r="FL27" s="35"/>
      <c r="FM27" s="35">
        <f t="shared" si="13"/>
        <v>34500</v>
      </c>
      <c r="FN27" s="35">
        <f t="shared" si="14"/>
        <v>103500</v>
      </c>
      <c r="FO27" s="35">
        <f t="shared" si="15"/>
        <v>414000</v>
      </c>
    </row>
    <row r="28" spans="1:171" x14ac:dyDescent="0.35">
      <c r="A28" s="34"/>
      <c r="B28" s="40"/>
      <c r="C28" s="58"/>
      <c r="D28" s="79" t="s">
        <v>135</v>
      </c>
      <c r="E28" s="40" t="s">
        <v>8</v>
      </c>
      <c r="F28" s="58" t="s">
        <v>17</v>
      </c>
      <c r="G28" s="58"/>
      <c r="H28" s="58"/>
      <c r="I28" s="58"/>
      <c r="J28" s="58"/>
      <c r="K28" s="35">
        <v>31920</v>
      </c>
      <c r="L28" s="35">
        <v>750</v>
      </c>
      <c r="M28" s="35">
        <v>958</v>
      </c>
      <c r="N28" s="35"/>
      <c r="O28" s="35"/>
      <c r="P28" s="35"/>
      <c r="Q28" s="35"/>
      <c r="R28" s="35"/>
      <c r="S28" s="35"/>
      <c r="T28" s="35"/>
      <c r="U28" s="35"/>
      <c r="V28" s="35"/>
      <c r="W28" s="35">
        <f t="shared" si="16"/>
        <v>33628</v>
      </c>
      <c r="X28" s="35">
        <v>31920</v>
      </c>
      <c r="Y28" s="35">
        <v>750</v>
      </c>
      <c r="Z28" s="35">
        <v>958</v>
      </c>
      <c r="AA28" s="35"/>
      <c r="AB28" s="35"/>
      <c r="AC28" s="35"/>
      <c r="AD28" s="35"/>
      <c r="AE28" s="35"/>
      <c r="AF28" s="35"/>
      <c r="AG28" s="35"/>
      <c r="AH28" s="35"/>
      <c r="AI28" s="35"/>
      <c r="AJ28" s="35">
        <f t="shared" si="0"/>
        <v>33628</v>
      </c>
      <c r="AK28" s="35">
        <v>31920</v>
      </c>
      <c r="AL28" s="35">
        <v>750</v>
      </c>
      <c r="AM28" s="35">
        <v>958</v>
      </c>
      <c r="AN28" s="35"/>
      <c r="AO28" s="35"/>
      <c r="AP28" s="35"/>
      <c r="AQ28" s="35"/>
      <c r="AR28" s="35"/>
      <c r="AS28" s="35"/>
      <c r="AT28" s="35"/>
      <c r="AU28" s="35"/>
      <c r="AV28" s="35"/>
      <c r="AW28" s="35">
        <f t="shared" si="1"/>
        <v>33628</v>
      </c>
      <c r="AX28" s="35">
        <f t="shared" si="2"/>
        <v>100884</v>
      </c>
      <c r="AY28" s="35">
        <v>31920</v>
      </c>
      <c r="AZ28" s="35">
        <v>750</v>
      </c>
      <c r="BA28" s="35">
        <v>958</v>
      </c>
      <c r="BB28" s="35"/>
      <c r="BC28" s="35"/>
      <c r="BD28" s="35"/>
      <c r="BE28" s="35"/>
      <c r="BF28" s="35"/>
      <c r="BG28" s="35"/>
      <c r="BH28" s="35"/>
      <c r="BI28" s="35"/>
      <c r="BJ28" s="35"/>
      <c r="BK28" s="35">
        <f t="shared" si="5"/>
        <v>33628</v>
      </c>
      <c r="BL28" s="35">
        <v>31920</v>
      </c>
      <c r="BM28" s="35">
        <v>750</v>
      </c>
      <c r="BN28" s="35">
        <v>958</v>
      </c>
      <c r="BO28" s="35"/>
      <c r="BP28" s="35"/>
      <c r="BQ28" s="35"/>
      <c r="BR28" s="35"/>
      <c r="BS28" s="35"/>
      <c r="BT28" s="35"/>
      <c r="BU28" s="35"/>
      <c r="BV28" s="35"/>
      <c r="BW28" s="35"/>
      <c r="BX28" s="35">
        <f t="shared" si="6"/>
        <v>33628</v>
      </c>
      <c r="BY28" s="35">
        <v>31920</v>
      </c>
      <c r="BZ28" s="35">
        <v>750</v>
      </c>
      <c r="CA28" s="35">
        <v>958</v>
      </c>
      <c r="CB28" s="35"/>
      <c r="CC28" s="35"/>
      <c r="CD28" s="35"/>
      <c r="CE28" s="35"/>
      <c r="CF28" s="35"/>
      <c r="CG28" s="35"/>
      <c r="CH28" s="35"/>
      <c r="CI28" s="35"/>
      <c r="CJ28" s="35"/>
      <c r="CK28" s="35">
        <f t="shared" si="7"/>
        <v>33628</v>
      </c>
      <c r="CL28" s="35">
        <f t="shared" si="8"/>
        <v>100884</v>
      </c>
      <c r="CM28" s="35">
        <v>33520</v>
      </c>
      <c r="CN28" s="35">
        <v>750</v>
      </c>
      <c r="CO28" s="35">
        <v>1006</v>
      </c>
      <c r="CP28" s="35"/>
      <c r="CQ28" s="35"/>
      <c r="CR28" s="35"/>
      <c r="CS28" s="35"/>
      <c r="CT28" s="35"/>
      <c r="CU28" s="35"/>
      <c r="CV28" s="35"/>
      <c r="CW28" s="35"/>
      <c r="CX28" s="35"/>
      <c r="CY28" s="35">
        <f t="shared" si="9"/>
        <v>35276</v>
      </c>
      <c r="CZ28" s="35">
        <f>9600+33520</f>
        <v>43120</v>
      </c>
      <c r="DA28" s="35">
        <v>750</v>
      </c>
      <c r="DB28" s="35">
        <f>288+1006</f>
        <v>1294</v>
      </c>
      <c r="DC28" s="35"/>
      <c r="DD28" s="35"/>
      <c r="DE28" s="35"/>
      <c r="DF28" s="35"/>
      <c r="DG28" s="35"/>
      <c r="DH28" s="35"/>
      <c r="DI28" s="35"/>
      <c r="DJ28" s="35"/>
      <c r="DK28" s="35"/>
      <c r="DL28" s="35">
        <f t="shared" si="3"/>
        <v>45164</v>
      </c>
      <c r="DM28" s="35">
        <v>33520</v>
      </c>
      <c r="DN28" s="35">
        <v>750</v>
      </c>
      <c r="DO28" s="35">
        <v>1006</v>
      </c>
      <c r="DP28" s="35"/>
      <c r="DQ28" s="35"/>
      <c r="DR28" s="35"/>
      <c r="DS28" s="35"/>
      <c r="DT28" s="35"/>
      <c r="DU28" s="35"/>
      <c r="DV28" s="35"/>
      <c r="DW28" s="35"/>
      <c r="DX28" s="35"/>
      <c r="DY28" s="35">
        <f t="shared" si="10"/>
        <v>35276</v>
      </c>
      <c r="DZ28" s="35">
        <f t="shared" si="11"/>
        <v>115716</v>
      </c>
      <c r="EA28" s="35">
        <v>33520</v>
      </c>
      <c r="EB28" s="35">
        <v>750</v>
      </c>
      <c r="EC28" s="35">
        <v>1006</v>
      </c>
      <c r="ED28" s="35"/>
      <c r="EE28" s="35"/>
      <c r="EF28" s="35"/>
      <c r="EG28" s="35"/>
      <c r="EH28" s="35"/>
      <c r="EI28" s="35"/>
      <c r="EJ28" s="35"/>
      <c r="EK28" s="35"/>
      <c r="EL28" s="35"/>
      <c r="EM28" s="35">
        <f t="shared" si="12"/>
        <v>35276</v>
      </c>
      <c r="EN28" s="35">
        <v>33520</v>
      </c>
      <c r="EO28" s="35">
        <v>750</v>
      </c>
      <c r="EP28" s="35">
        <v>1006</v>
      </c>
      <c r="EQ28" s="35"/>
      <c r="ER28" s="35"/>
      <c r="ES28" s="35"/>
      <c r="ET28" s="35"/>
      <c r="EU28" s="35"/>
      <c r="EV28" s="35"/>
      <c r="EW28" s="35"/>
      <c r="EX28" s="35"/>
      <c r="EY28" s="35"/>
      <c r="EZ28" s="35">
        <f t="shared" si="4"/>
        <v>35276</v>
      </c>
      <c r="FA28" s="35">
        <v>33520</v>
      </c>
      <c r="FB28" s="35">
        <v>750</v>
      </c>
      <c r="FC28" s="35">
        <v>1006</v>
      </c>
      <c r="FD28" s="35"/>
      <c r="FE28" s="35"/>
      <c r="FF28" s="35"/>
      <c r="FG28" s="35"/>
      <c r="FH28" s="35"/>
      <c r="FI28" s="35"/>
      <c r="FJ28" s="35"/>
      <c r="FK28" s="35"/>
      <c r="FL28" s="35"/>
      <c r="FM28" s="35">
        <f t="shared" si="13"/>
        <v>35276</v>
      </c>
      <c r="FN28" s="35">
        <f t="shared" si="14"/>
        <v>105828</v>
      </c>
      <c r="FO28" s="35">
        <f t="shared" si="15"/>
        <v>423312</v>
      </c>
    </row>
    <row r="29" spans="1:171" x14ac:dyDescent="0.35">
      <c r="A29" s="34"/>
      <c r="B29" s="40"/>
      <c r="C29" s="58"/>
      <c r="D29" s="79" t="s">
        <v>136</v>
      </c>
      <c r="E29" s="40" t="s">
        <v>8</v>
      </c>
      <c r="F29" s="58" t="s">
        <v>17</v>
      </c>
      <c r="G29" s="58"/>
      <c r="H29" s="58"/>
      <c r="I29" s="58"/>
      <c r="J29" s="58"/>
      <c r="K29" s="35">
        <v>33200</v>
      </c>
      <c r="L29" s="35">
        <v>750</v>
      </c>
      <c r="M29" s="35">
        <v>996</v>
      </c>
      <c r="N29" s="35"/>
      <c r="O29" s="35"/>
      <c r="P29" s="35"/>
      <c r="Q29" s="35"/>
      <c r="R29" s="35"/>
      <c r="S29" s="35"/>
      <c r="T29" s="35"/>
      <c r="U29" s="35"/>
      <c r="V29" s="35"/>
      <c r="W29" s="35">
        <f t="shared" si="16"/>
        <v>34946</v>
      </c>
      <c r="X29" s="35">
        <v>33200</v>
      </c>
      <c r="Y29" s="35">
        <v>750</v>
      </c>
      <c r="Z29" s="35">
        <v>996</v>
      </c>
      <c r="AA29" s="35"/>
      <c r="AB29" s="35"/>
      <c r="AC29" s="35"/>
      <c r="AD29" s="35"/>
      <c r="AE29" s="35"/>
      <c r="AF29" s="35"/>
      <c r="AG29" s="35"/>
      <c r="AH29" s="35"/>
      <c r="AI29" s="35"/>
      <c r="AJ29" s="35">
        <f t="shared" si="0"/>
        <v>34946</v>
      </c>
      <c r="AK29" s="35">
        <v>33200</v>
      </c>
      <c r="AL29" s="35">
        <v>750</v>
      </c>
      <c r="AM29" s="35">
        <v>996</v>
      </c>
      <c r="AN29" s="35"/>
      <c r="AO29" s="35"/>
      <c r="AP29" s="35"/>
      <c r="AQ29" s="35"/>
      <c r="AR29" s="35"/>
      <c r="AS29" s="35"/>
      <c r="AT29" s="35"/>
      <c r="AU29" s="35"/>
      <c r="AV29" s="35"/>
      <c r="AW29" s="35">
        <f t="shared" si="1"/>
        <v>34946</v>
      </c>
      <c r="AX29" s="35">
        <f t="shared" si="2"/>
        <v>104838</v>
      </c>
      <c r="AY29" s="35">
        <v>33200</v>
      </c>
      <c r="AZ29" s="35">
        <v>750</v>
      </c>
      <c r="BA29" s="35">
        <v>996</v>
      </c>
      <c r="BB29" s="35"/>
      <c r="BC29" s="35"/>
      <c r="BD29" s="35"/>
      <c r="BE29" s="35"/>
      <c r="BF29" s="35"/>
      <c r="BG29" s="35"/>
      <c r="BH29" s="35"/>
      <c r="BI29" s="35"/>
      <c r="BJ29" s="35"/>
      <c r="BK29" s="35">
        <f t="shared" si="5"/>
        <v>34946</v>
      </c>
      <c r="BL29" s="35">
        <v>33200</v>
      </c>
      <c r="BM29" s="35">
        <v>750</v>
      </c>
      <c r="BN29" s="35">
        <v>996</v>
      </c>
      <c r="BO29" s="35"/>
      <c r="BP29" s="35"/>
      <c r="BQ29" s="35"/>
      <c r="BR29" s="35"/>
      <c r="BS29" s="35"/>
      <c r="BT29" s="35"/>
      <c r="BU29" s="35"/>
      <c r="BV29" s="35"/>
      <c r="BW29" s="35"/>
      <c r="BX29" s="35">
        <f t="shared" si="6"/>
        <v>34946</v>
      </c>
      <c r="BY29" s="35">
        <v>33200</v>
      </c>
      <c r="BZ29" s="35">
        <v>750</v>
      </c>
      <c r="CA29" s="35">
        <v>996</v>
      </c>
      <c r="CB29" s="35"/>
      <c r="CC29" s="35"/>
      <c r="CD29" s="35"/>
      <c r="CE29" s="35"/>
      <c r="CF29" s="35"/>
      <c r="CG29" s="35"/>
      <c r="CH29" s="35"/>
      <c r="CI29" s="35"/>
      <c r="CJ29" s="35"/>
      <c r="CK29" s="35">
        <f t="shared" si="7"/>
        <v>34946</v>
      </c>
      <c r="CL29" s="35">
        <f t="shared" si="8"/>
        <v>104838</v>
      </c>
      <c r="CM29" s="35">
        <v>34860</v>
      </c>
      <c r="CN29" s="35">
        <v>750</v>
      </c>
      <c r="CO29" s="35">
        <v>1046</v>
      </c>
      <c r="CP29" s="35"/>
      <c r="CQ29" s="35"/>
      <c r="CR29" s="35"/>
      <c r="CS29" s="35"/>
      <c r="CT29" s="35"/>
      <c r="CU29" s="35"/>
      <c r="CV29" s="35"/>
      <c r="CW29" s="35"/>
      <c r="CX29" s="35"/>
      <c r="CY29" s="35">
        <f t="shared" si="9"/>
        <v>36656</v>
      </c>
      <c r="CZ29" s="35">
        <f>9960+34860</f>
        <v>44820</v>
      </c>
      <c r="DA29" s="35">
        <v>750</v>
      </c>
      <c r="DB29" s="35">
        <f>300+1046</f>
        <v>1346</v>
      </c>
      <c r="DC29" s="35"/>
      <c r="DD29" s="35"/>
      <c r="DE29" s="35"/>
      <c r="DF29" s="35"/>
      <c r="DG29" s="35"/>
      <c r="DH29" s="35"/>
      <c r="DI29" s="35"/>
      <c r="DJ29" s="35"/>
      <c r="DK29" s="35"/>
      <c r="DL29" s="35">
        <f t="shared" si="3"/>
        <v>46916</v>
      </c>
      <c r="DM29" s="35">
        <v>34860</v>
      </c>
      <c r="DN29" s="35">
        <v>750</v>
      </c>
      <c r="DO29" s="35">
        <v>1046</v>
      </c>
      <c r="DP29" s="35"/>
      <c r="DQ29" s="35"/>
      <c r="DR29" s="35"/>
      <c r="DS29" s="35"/>
      <c r="DT29" s="35"/>
      <c r="DU29" s="35"/>
      <c r="DV29" s="35"/>
      <c r="DW29" s="35"/>
      <c r="DX29" s="35"/>
      <c r="DY29" s="35">
        <f t="shared" si="10"/>
        <v>36656</v>
      </c>
      <c r="DZ29" s="35">
        <f t="shared" si="11"/>
        <v>120228</v>
      </c>
      <c r="EA29" s="35">
        <v>34860</v>
      </c>
      <c r="EB29" s="35">
        <v>750</v>
      </c>
      <c r="EC29" s="35">
        <v>1046</v>
      </c>
      <c r="ED29" s="35"/>
      <c r="EE29" s="35"/>
      <c r="EF29" s="35"/>
      <c r="EG29" s="35"/>
      <c r="EH29" s="35"/>
      <c r="EI29" s="35"/>
      <c r="EJ29" s="35"/>
      <c r="EK29" s="35"/>
      <c r="EL29" s="35"/>
      <c r="EM29" s="35">
        <f t="shared" si="12"/>
        <v>36656</v>
      </c>
      <c r="EN29" s="35">
        <v>34860</v>
      </c>
      <c r="EO29" s="35">
        <v>750</v>
      </c>
      <c r="EP29" s="35">
        <v>1046</v>
      </c>
      <c r="EQ29" s="35"/>
      <c r="ER29" s="35"/>
      <c r="ES29" s="35"/>
      <c r="ET29" s="35"/>
      <c r="EU29" s="35"/>
      <c r="EV29" s="35"/>
      <c r="EW29" s="35"/>
      <c r="EX29" s="35"/>
      <c r="EY29" s="35"/>
      <c r="EZ29" s="35">
        <f t="shared" si="4"/>
        <v>36656</v>
      </c>
      <c r="FA29" s="35">
        <v>34860</v>
      </c>
      <c r="FB29" s="35">
        <v>750</v>
      </c>
      <c r="FC29" s="35">
        <v>1046</v>
      </c>
      <c r="FD29" s="35"/>
      <c r="FE29" s="35"/>
      <c r="FF29" s="35"/>
      <c r="FG29" s="35"/>
      <c r="FH29" s="35"/>
      <c r="FI29" s="35"/>
      <c r="FJ29" s="35"/>
      <c r="FK29" s="35"/>
      <c r="FL29" s="35"/>
      <c r="FM29" s="35">
        <f t="shared" si="13"/>
        <v>36656</v>
      </c>
      <c r="FN29" s="35">
        <f t="shared" si="14"/>
        <v>109968</v>
      </c>
      <c r="FO29" s="35">
        <f t="shared" si="15"/>
        <v>439872</v>
      </c>
    </row>
    <row r="30" spans="1:171" x14ac:dyDescent="0.35">
      <c r="A30" s="34"/>
      <c r="B30" s="40"/>
      <c r="C30" s="58"/>
      <c r="D30" s="79" t="s">
        <v>137</v>
      </c>
      <c r="E30" s="40" t="s">
        <v>8</v>
      </c>
      <c r="F30" s="58" t="s">
        <v>17</v>
      </c>
      <c r="G30" s="58"/>
      <c r="H30" s="58"/>
      <c r="I30" s="58"/>
      <c r="J30" s="58"/>
      <c r="K30" s="35">
        <v>33810</v>
      </c>
      <c r="L30" s="35">
        <v>750</v>
      </c>
      <c r="M30" s="35">
        <v>1014</v>
      </c>
      <c r="N30" s="35"/>
      <c r="O30" s="35"/>
      <c r="P30" s="35"/>
      <c r="Q30" s="35"/>
      <c r="R30" s="35"/>
      <c r="S30" s="35"/>
      <c r="T30" s="35"/>
      <c r="U30" s="35"/>
      <c r="V30" s="35"/>
      <c r="W30" s="35">
        <f t="shared" si="16"/>
        <v>35574</v>
      </c>
      <c r="X30" s="35">
        <v>33810</v>
      </c>
      <c r="Y30" s="35">
        <v>750</v>
      </c>
      <c r="Z30" s="35">
        <v>1014</v>
      </c>
      <c r="AA30" s="35"/>
      <c r="AB30" s="35"/>
      <c r="AC30" s="35"/>
      <c r="AD30" s="35"/>
      <c r="AE30" s="35"/>
      <c r="AF30" s="35"/>
      <c r="AG30" s="35"/>
      <c r="AH30" s="35"/>
      <c r="AI30" s="35"/>
      <c r="AJ30" s="35">
        <f t="shared" si="0"/>
        <v>35574</v>
      </c>
      <c r="AK30" s="35">
        <v>33810</v>
      </c>
      <c r="AL30" s="35">
        <v>750</v>
      </c>
      <c r="AM30" s="35">
        <v>1014</v>
      </c>
      <c r="AN30" s="35"/>
      <c r="AO30" s="35"/>
      <c r="AP30" s="35"/>
      <c r="AQ30" s="35"/>
      <c r="AR30" s="35"/>
      <c r="AS30" s="35"/>
      <c r="AT30" s="35"/>
      <c r="AU30" s="35"/>
      <c r="AV30" s="35"/>
      <c r="AW30" s="35">
        <f t="shared" si="1"/>
        <v>35574</v>
      </c>
      <c r="AX30" s="35">
        <f t="shared" si="2"/>
        <v>106722</v>
      </c>
      <c r="AY30" s="35">
        <v>33810</v>
      </c>
      <c r="AZ30" s="35">
        <v>750</v>
      </c>
      <c r="BA30" s="35">
        <v>1014</v>
      </c>
      <c r="BB30" s="35"/>
      <c r="BC30" s="35"/>
      <c r="BD30" s="35"/>
      <c r="BE30" s="35"/>
      <c r="BF30" s="35"/>
      <c r="BG30" s="35"/>
      <c r="BH30" s="35"/>
      <c r="BI30" s="35"/>
      <c r="BJ30" s="35"/>
      <c r="BK30" s="35">
        <f t="shared" si="5"/>
        <v>35574</v>
      </c>
      <c r="BL30" s="35">
        <v>33810</v>
      </c>
      <c r="BM30" s="35">
        <v>750</v>
      </c>
      <c r="BN30" s="35">
        <v>1014</v>
      </c>
      <c r="BO30" s="35"/>
      <c r="BP30" s="35"/>
      <c r="BQ30" s="35"/>
      <c r="BR30" s="35"/>
      <c r="BS30" s="35"/>
      <c r="BT30" s="35"/>
      <c r="BU30" s="35"/>
      <c r="BV30" s="35"/>
      <c r="BW30" s="35"/>
      <c r="BX30" s="35">
        <f t="shared" si="6"/>
        <v>35574</v>
      </c>
      <c r="BY30" s="35">
        <v>33810</v>
      </c>
      <c r="BZ30" s="35">
        <v>750</v>
      </c>
      <c r="CA30" s="35">
        <v>1014</v>
      </c>
      <c r="CB30" s="35"/>
      <c r="CC30" s="35"/>
      <c r="CD30" s="35"/>
      <c r="CE30" s="35"/>
      <c r="CF30" s="35"/>
      <c r="CG30" s="35"/>
      <c r="CH30" s="35"/>
      <c r="CI30" s="35"/>
      <c r="CJ30" s="35"/>
      <c r="CK30" s="35">
        <f t="shared" si="7"/>
        <v>35574</v>
      </c>
      <c r="CL30" s="35">
        <f t="shared" si="8"/>
        <v>106722</v>
      </c>
      <c r="CM30" s="35">
        <v>35510</v>
      </c>
      <c r="CN30" s="35">
        <v>750</v>
      </c>
      <c r="CO30" s="35">
        <v>1065</v>
      </c>
      <c r="CP30" s="35"/>
      <c r="CQ30" s="35"/>
      <c r="CR30" s="35"/>
      <c r="CS30" s="35"/>
      <c r="CT30" s="35"/>
      <c r="CU30" s="35"/>
      <c r="CV30" s="35"/>
      <c r="CW30" s="35"/>
      <c r="CX30" s="35"/>
      <c r="CY30" s="35">
        <f t="shared" si="9"/>
        <v>37325</v>
      </c>
      <c r="CZ30" s="35">
        <f>10200+35510</f>
        <v>45710</v>
      </c>
      <c r="DA30" s="35">
        <v>750</v>
      </c>
      <c r="DB30" s="35">
        <f>306+1065</f>
        <v>1371</v>
      </c>
      <c r="DC30" s="35"/>
      <c r="DD30" s="35"/>
      <c r="DE30" s="35"/>
      <c r="DF30" s="35"/>
      <c r="DG30" s="35"/>
      <c r="DH30" s="35"/>
      <c r="DI30" s="35"/>
      <c r="DJ30" s="35"/>
      <c r="DK30" s="35"/>
      <c r="DL30" s="35">
        <f t="shared" si="3"/>
        <v>47831</v>
      </c>
      <c r="DM30" s="35">
        <v>35510</v>
      </c>
      <c r="DN30" s="35">
        <v>750</v>
      </c>
      <c r="DO30" s="35">
        <v>1065</v>
      </c>
      <c r="DP30" s="35"/>
      <c r="DQ30" s="35"/>
      <c r="DR30" s="35"/>
      <c r="DS30" s="35"/>
      <c r="DT30" s="35"/>
      <c r="DU30" s="35"/>
      <c r="DV30" s="35"/>
      <c r="DW30" s="35"/>
      <c r="DX30" s="35"/>
      <c r="DY30" s="35">
        <f t="shared" si="10"/>
        <v>37325</v>
      </c>
      <c r="DZ30" s="35">
        <f t="shared" si="11"/>
        <v>122481</v>
      </c>
      <c r="EA30" s="35">
        <v>35510</v>
      </c>
      <c r="EB30" s="35">
        <v>750</v>
      </c>
      <c r="EC30" s="35">
        <v>1065</v>
      </c>
      <c r="ED30" s="35"/>
      <c r="EE30" s="35"/>
      <c r="EF30" s="35"/>
      <c r="EG30" s="35"/>
      <c r="EH30" s="35"/>
      <c r="EI30" s="35"/>
      <c r="EJ30" s="35"/>
      <c r="EK30" s="35"/>
      <c r="EL30" s="35"/>
      <c r="EM30" s="35">
        <f t="shared" si="12"/>
        <v>37325</v>
      </c>
      <c r="EN30" s="35">
        <v>35510</v>
      </c>
      <c r="EO30" s="35">
        <v>750</v>
      </c>
      <c r="EP30" s="35">
        <v>1065</v>
      </c>
      <c r="EQ30" s="35"/>
      <c r="ER30" s="35"/>
      <c r="ES30" s="35"/>
      <c r="ET30" s="35"/>
      <c r="EU30" s="35"/>
      <c r="EV30" s="35"/>
      <c r="EW30" s="35"/>
      <c r="EX30" s="35"/>
      <c r="EY30" s="35"/>
      <c r="EZ30" s="35">
        <f t="shared" si="4"/>
        <v>37325</v>
      </c>
      <c r="FA30" s="35">
        <v>35510</v>
      </c>
      <c r="FB30" s="35">
        <v>750</v>
      </c>
      <c r="FC30" s="35">
        <v>1065</v>
      </c>
      <c r="FD30" s="35"/>
      <c r="FE30" s="35"/>
      <c r="FF30" s="35"/>
      <c r="FG30" s="35"/>
      <c r="FH30" s="35"/>
      <c r="FI30" s="35"/>
      <c r="FJ30" s="35"/>
      <c r="FK30" s="35"/>
      <c r="FL30" s="35"/>
      <c r="FM30" s="35">
        <f t="shared" si="13"/>
        <v>37325</v>
      </c>
      <c r="FN30" s="35">
        <f t="shared" si="14"/>
        <v>111975</v>
      </c>
      <c r="FO30" s="35">
        <f t="shared" si="15"/>
        <v>447900</v>
      </c>
    </row>
    <row r="31" spans="1:171" x14ac:dyDescent="0.35">
      <c r="A31" s="34"/>
      <c r="B31" s="40"/>
      <c r="C31" s="58"/>
      <c r="D31" s="79" t="s">
        <v>138</v>
      </c>
      <c r="E31" s="40" t="s">
        <v>8</v>
      </c>
      <c r="F31" s="58" t="s">
        <v>17</v>
      </c>
      <c r="G31" s="58"/>
      <c r="H31" s="58"/>
      <c r="I31" s="58"/>
      <c r="J31" s="58"/>
      <c r="K31" s="35">
        <v>33200</v>
      </c>
      <c r="L31" s="35">
        <v>750</v>
      </c>
      <c r="M31" s="35">
        <v>996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16"/>
        <v>34946</v>
      </c>
      <c r="X31" s="35">
        <v>33200</v>
      </c>
      <c r="Y31" s="35">
        <v>750</v>
      </c>
      <c r="Z31" s="35">
        <v>996</v>
      </c>
      <c r="AA31" s="35"/>
      <c r="AB31" s="35"/>
      <c r="AC31" s="35"/>
      <c r="AD31" s="35"/>
      <c r="AE31" s="35"/>
      <c r="AF31" s="35"/>
      <c r="AG31" s="35"/>
      <c r="AH31" s="35"/>
      <c r="AI31" s="35"/>
      <c r="AJ31" s="35">
        <f t="shared" si="0"/>
        <v>34946</v>
      </c>
      <c r="AK31" s="35">
        <v>33200</v>
      </c>
      <c r="AL31" s="35">
        <v>750</v>
      </c>
      <c r="AM31" s="35">
        <v>996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>
        <f t="shared" si="1"/>
        <v>34946</v>
      </c>
      <c r="AX31" s="35">
        <f t="shared" si="2"/>
        <v>104838</v>
      </c>
      <c r="AY31" s="35">
        <v>33200</v>
      </c>
      <c r="AZ31" s="35">
        <v>750</v>
      </c>
      <c r="BA31" s="35">
        <v>996</v>
      </c>
      <c r="BB31" s="35"/>
      <c r="BC31" s="35"/>
      <c r="BD31" s="35"/>
      <c r="BE31" s="35"/>
      <c r="BF31" s="35"/>
      <c r="BG31" s="35"/>
      <c r="BH31" s="35"/>
      <c r="BI31" s="35"/>
      <c r="BJ31" s="35"/>
      <c r="BK31" s="35">
        <f t="shared" si="5"/>
        <v>34946</v>
      </c>
      <c r="BL31" s="35">
        <v>33200</v>
      </c>
      <c r="BM31" s="35">
        <v>750</v>
      </c>
      <c r="BN31" s="35">
        <v>996</v>
      </c>
      <c r="BO31" s="35"/>
      <c r="BP31" s="35"/>
      <c r="BQ31" s="35"/>
      <c r="BR31" s="35"/>
      <c r="BS31" s="35"/>
      <c r="BT31" s="35"/>
      <c r="BU31" s="35"/>
      <c r="BV31" s="35"/>
      <c r="BW31" s="35"/>
      <c r="BX31" s="35">
        <f t="shared" si="6"/>
        <v>34946</v>
      </c>
      <c r="BY31" s="35">
        <v>33200</v>
      </c>
      <c r="BZ31" s="35">
        <v>750</v>
      </c>
      <c r="CA31" s="35">
        <v>996</v>
      </c>
      <c r="CB31" s="35"/>
      <c r="CC31" s="35"/>
      <c r="CD31" s="35"/>
      <c r="CE31" s="35"/>
      <c r="CF31" s="35"/>
      <c r="CG31" s="35"/>
      <c r="CH31" s="35"/>
      <c r="CI31" s="35"/>
      <c r="CJ31" s="35"/>
      <c r="CK31" s="35">
        <f t="shared" si="7"/>
        <v>34946</v>
      </c>
      <c r="CL31" s="35">
        <f t="shared" si="8"/>
        <v>104838</v>
      </c>
      <c r="CM31" s="35">
        <v>34860</v>
      </c>
      <c r="CN31" s="35">
        <v>750</v>
      </c>
      <c r="CO31" s="35">
        <v>1046</v>
      </c>
      <c r="CP31" s="35"/>
      <c r="CQ31" s="35"/>
      <c r="CR31" s="35"/>
      <c r="CS31" s="35"/>
      <c r="CT31" s="35"/>
      <c r="CU31" s="35"/>
      <c r="CV31" s="35"/>
      <c r="CW31" s="35"/>
      <c r="CX31" s="35"/>
      <c r="CY31" s="35">
        <f t="shared" si="9"/>
        <v>36656</v>
      </c>
      <c r="CZ31" s="35">
        <f>9960+34860</f>
        <v>44820</v>
      </c>
      <c r="DA31" s="35">
        <v>750</v>
      </c>
      <c r="DB31" s="35">
        <f>300+1046</f>
        <v>1346</v>
      </c>
      <c r="DC31" s="35"/>
      <c r="DD31" s="35"/>
      <c r="DE31" s="35"/>
      <c r="DF31" s="35"/>
      <c r="DG31" s="35"/>
      <c r="DH31" s="35"/>
      <c r="DI31" s="35"/>
      <c r="DJ31" s="35"/>
      <c r="DK31" s="35"/>
      <c r="DL31" s="35">
        <f t="shared" si="3"/>
        <v>46916</v>
      </c>
      <c r="DM31" s="35">
        <v>34860</v>
      </c>
      <c r="DN31" s="35">
        <v>750</v>
      </c>
      <c r="DO31" s="35">
        <v>1046</v>
      </c>
      <c r="DP31" s="35"/>
      <c r="DQ31" s="35"/>
      <c r="DR31" s="35"/>
      <c r="DS31" s="35"/>
      <c r="DT31" s="35"/>
      <c r="DU31" s="35"/>
      <c r="DV31" s="35"/>
      <c r="DW31" s="35"/>
      <c r="DX31" s="35"/>
      <c r="DY31" s="35">
        <f t="shared" si="10"/>
        <v>36656</v>
      </c>
      <c r="DZ31" s="35">
        <f t="shared" si="11"/>
        <v>120228</v>
      </c>
      <c r="EA31" s="35">
        <v>34860</v>
      </c>
      <c r="EB31" s="35">
        <v>750</v>
      </c>
      <c r="EC31" s="35">
        <v>1046</v>
      </c>
      <c r="ED31" s="35"/>
      <c r="EE31" s="35"/>
      <c r="EF31" s="35"/>
      <c r="EG31" s="35"/>
      <c r="EH31" s="35"/>
      <c r="EI31" s="35"/>
      <c r="EJ31" s="35"/>
      <c r="EK31" s="35"/>
      <c r="EL31" s="35"/>
      <c r="EM31" s="35">
        <f t="shared" si="12"/>
        <v>36656</v>
      </c>
      <c r="EN31" s="35">
        <v>34860</v>
      </c>
      <c r="EO31" s="35">
        <v>750</v>
      </c>
      <c r="EP31" s="35">
        <v>1046</v>
      </c>
      <c r="EQ31" s="35"/>
      <c r="ER31" s="35"/>
      <c r="ES31" s="35"/>
      <c r="ET31" s="35"/>
      <c r="EU31" s="35"/>
      <c r="EV31" s="35"/>
      <c r="EW31" s="35"/>
      <c r="EX31" s="35"/>
      <c r="EY31" s="35"/>
      <c r="EZ31" s="35">
        <f t="shared" si="4"/>
        <v>36656</v>
      </c>
      <c r="FA31" s="35">
        <v>34860</v>
      </c>
      <c r="FB31" s="35">
        <v>750</v>
      </c>
      <c r="FC31" s="35">
        <v>1046</v>
      </c>
      <c r="FD31" s="35"/>
      <c r="FE31" s="35"/>
      <c r="FF31" s="35"/>
      <c r="FG31" s="35"/>
      <c r="FH31" s="35"/>
      <c r="FI31" s="35"/>
      <c r="FJ31" s="35"/>
      <c r="FK31" s="35"/>
      <c r="FL31" s="35"/>
      <c r="FM31" s="35">
        <f t="shared" si="13"/>
        <v>36656</v>
      </c>
      <c r="FN31" s="35">
        <f t="shared" si="14"/>
        <v>109968</v>
      </c>
      <c r="FO31" s="35">
        <f t="shared" si="15"/>
        <v>439872</v>
      </c>
    </row>
    <row r="32" spans="1:171" x14ac:dyDescent="0.35">
      <c r="A32" s="34"/>
      <c r="B32" s="40"/>
      <c r="C32" s="58"/>
      <c r="D32" s="79" t="s">
        <v>139</v>
      </c>
      <c r="E32" s="40" t="s">
        <v>8</v>
      </c>
      <c r="F32" s="58" t="s">
        <v>17</v>
      </c>
      <c r="G32" s="58"/>
      <c r="H32" s="58"/>
      <c r="I32" s="58"/>
      <c r="J32" s="58"/>
      <c r="K32" s="35">
        <v>33200</v>
      </c>
      <c r="L32" s="35">
        <v>750</v>
      </c>
      <c r="M32" s="35">
        <v>996</v>
      </c>
      <c r="N32" s="35"/>
      <c r="O32" s="35"/>
      <c r="P32" s="35"/>
      <c r="Q32" s="35"/>
      <c r="R32" s="35"/>
      <c r="S32" s="35"/>
      <c r="T32" s="35"/>
      <c r="U32" s="35"/>
      <c r="V32" s="35"/>
      <c r="W32" s="35">
        <f t="shared" si="16"/>
        <v>34946</v>
      </c>
      <c r="X32" s="35">
        <v>33200</v>
      </c>
      <c r="Y32" s="35">
        <v>750</v>
      </c>
      <c r="Z32" s="35">
        <v>996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>
        <f t="shared" si="0"/>
        <v>34946</v>
      </c>
      <c r="AK32" s="35">
        <v>33200</v>
      </c>
      <c r="AL32" s="35">
        <v>750</v>
      </c>
      <c r="AM32" s="35">
        <v>996</v>
      </c>
      <c r="AN32" s="35"/>
      <c r="AO32" s="35"/>
      <c r="AP32" s="35"/>
      <c r="AQ32" s="35"/>
      <c r="AR32" s="35"/>
      <c r="AS32" s="35"/>
      <c r="AT32" s="35"/>
      <c r="AU32" s="35"/>
      <c r="AV32" s="35"/>
      <c r="AW32" s="35">
        <f t="shared" si="1"/>
        <v>34946</v>
      </c>
      <c r="AX32" s="35">
        <f t="shared" si="2"/>
        <v>104838</v>
      </c>
      <c r="AY32" s="35">
        <v>33200</v>
      </c>
      <c r="AZ32" s="35">
        <v>750</v>
      </c>
      <c r="BA32" s="35">
        <v>996</v>
      </c>
      <c r="BB32" s="35"/>
      <c r="BC32" s="35"/>
      <c r="BD32" s="35"/>
      <c r="BE32" s="35"/>
      <c r="BF32" s="35"/>
      <c r="BG32" s="35"/>
      <c r="BH32" s="35"/>
      <c r="BI32" s="35"/>
      <c r="BJ32" s="35"/>
      <c r="BK32" s="35">
        <f t="shared" si="5"/>
        <v>34946</v>
      </c>
      <c r="BL32" s="35">
        <v>33200</v>
      </c>
      <c r="BM32" s="35">
        <v>750</v>
      </c>
      <c r="BN32" s="35">
        <v>996</v>
      </c>
      <c r="BO32" s="35"/>
      <c r="BP32" s="35"/>
      <c r="BQ32" s="35"/>
      <c r="BR32" s="35"/>
      <c r="BS32" s="35"/>
      <c r="BT32" s="35"/>
      <c r="BU32" s="35"/>
      <c r="BV32" s="35"/>
      <c r="BW32" s="35"/>
      <c r="BX32" s="35">
        <f t="shared" si="6"/>
        <v>34946</v>
      </c>
      <c r="BY32" s="35">
        <v>33200</v>
      </c>
      <c r="BZ32" s="35">
        <v>750</v>
      </c>
      <c r="CA32" s="35">
        <v>996</v>
      </c>
      <c r="CB32" s="35"/>
      <c r="CC32" s="35"/>
      <c r="CD32" s="35"/>
      <c r="CE32" s="35"/>
      <c r="CF32" s="35"/>
      <c r="CG32" s="35"/>
      <c r="CH32" s="35"/>
      <c r="CI32" s="35"/>
      <c r="CJ32" s="35"/>
      <c r="CK32" s="35">
        <f t="shared" si="7"/>
        <v>34946</v>
      </c>
      <c r="CL32" s="35">
        <f t="shared" si="8"/>
        <v>104838</v>
      </c>
      <c r="CM32" s="35">
        <v>34860</v>
      </c>
      <c r="CN32" s="35">
        <v>750</v>
      </c>
      <c r="CO32" s="35">
        <v>1046</v>
      </c>
      <c r="CP32" s="35"/>
      <c r="CQ32" s="35"/>
      <c r="CR32" s="35"/>
      <c r="CS32" s="35"/>
      <c r="CT32" s="35"/>
      <c r="CU32" s="35"/>
      <c r="CV32" s="35"/>
      <c r="CW32" s="35"/>
      <c r="CX32" s="35"/>
      <c r="CY32" s="35">
        <f t="shared" si="9"/>
        <v>36656</v>
      </c>
      <c r="CZ32" s="35">
        <f>9960+34860</f>
        <v>44820</v>
      </c>
      <c r="DA32" s="35">
        <v>750</v>
      </c>
      <c r="DB32" s="35">
        <f>300+1046</f>
        <v>1346</v>
      </c>
      <c r="DC32" s="35"/>
      <c r="DD32" s="35"/>
      <c r="DE32" s="35"/>
      <c r="DF32" s="35"/>
      <c r="DG32" s="35"/>
      <c r="DH32" s="35"/>
      <c r="DI32" s="35"/>
      <c r="DJ32" s="35"/>
      <c r="DK32" s="35"/>
      <c r="DL32" s="35">
        <f t="shared" si="3"/>
        <v>46916</v>
      </c>
      <c r="DM32" s="35">
        <v>34860</v>
      </c>
      <c r="DN32" s="35">
        <v>750</v>
      </c>
      <c r="DO32" s="35">
        <v>1046</v>
      </c>
      <c r="DP32" s="35"/>
      <c r="DQ32" s="35"/>
      <c r="DR32" s="35"/>
      <c r="DS32" s="35"/>
      <c r="DT32" s="35"/>
      <c r="DU32" s="35"/>
      <c r="DV32" s="35"/>
      <c r="DW32" s="35"/>
      <c r="DX32" s="35"/>
      <c r="DY32" s="35">
        <f t="shared" si="10"/>
        <v>36656</v>
      </c>
      <c r="DZ32" s="35">
        <f t="shared" si="11"/>
        <v>120228</v>
      </c>
      <c r="EA32" s="35">
        <v>34860</v>
      </c>
      <c r="EB32" s="35">
        <v>750</v>
      </c>
      <c r="EC32" s="35">
        <v>1046</v>
      </c>
      <c r="ED32" s="35"/>
      <c r="EE32" s="35"/>
      <c r="EF32" s="35"/>
      <c r="EG32" s="35"/>
      <c r="EH32" s="35"/>
      <c r="EI32" s="35"/>
      <c r="EJ32" s="35"/>
      <c r="EK32" s="35"/>
      <c r="EL32" s="35"/>
      <c r="EM32" s="35">
        <f t="shared" si="12"/>
        <v>36656</v>
      </c>
      <c r="EN32" s="35">
        <v>34860</v>
      </c>
      <c r="EO32" s="35">
        <v>750</v>
      </c>
      <c r="EP32" s="35">
        <v>1046</v>
      </c>
      <c r="EQ32" s="35"/>
      <c r="ER32" s="35"/>
      <c r="ES32" s="35"/>
      <c r="ET32" s="35"/>
      <c r="EU32" s="35"/>
      <c r="EV32" s="35"/>
      <c r="EW32" s="35"/>
      <c r="EX32" s="35"/>
      <c r="EY32" s="35"/>
      <c r="EZ32" s="35">
        <f t="shared" si="4"/>
        <v>36656</v>
      </c>
      <c r="FA32" s="35">
        <v>34860</v>
      </c>
      <c r="FB32" s="35">
        <v>750</v>
      </c>
      <c r="FC32" s="35">
        <v>1046</v>
      </c>
      <c r="FD32" s="35"/>
      <c r="FE32" s="35"/>
      <c r="FF32" s="35"/>
      <c r="FG32" s="35"/>
      <c r="FH32" s="35"/>
      <c r="FI32" s="35"/>
      <c r="FJ32" s="35"/>
      <c r="FK32" s="35"/>
      <c r="FL32" s="35"/>
      <c r="FM32" s="35">
        <f t="shared" si="13"/>
        <v>36656</v>
      </c>
      <c r="FN32" s="35">
        <f t="shared" si="14"/>
        <v>109968</v>
      </c>
      <c r="FO32" s="35">
        <f t="shared" si="15"/>
        <v>439872</v>
      </c>
    </row>
    <row r="33" spans="1:171" x14ac:dyDescent="0.35">
      <c r="A33" s="34"/>
      <c r="B33" s="40"/>
      <c r="C33" s="58"/>
      <c r="D33" s="79" t="s">
        <v>140</v>
      </c>
      <c r="E33" s="40" t="s">
        <v>8</v>
      </c>
      <c r="F33" s="58" t="s">
        <v>17</v>
      </c>
      <c r="G33" s="58"/>
      <c r="H33" s="58"/>
      <c r="I33" s="58"/>
      <c r="J33" s="58"/>
      <c r="K33" s="35">
        <v>33200</v>
      </c>
      <c r="L33" s="35">
        <v>750</v>
      </c>
      <c r="M33" s="35">
        <v>996</v>
      </c>
      <c r="N33" s="35"/>
      <c r="O33" s="35"/>
      <c r="P33" s="35"/>
      <c r="Q33" s="35"/>
      <c r="R33" s="35"/>
      <c r="S33" s="35"/>
      <c r="T33" s="35"/>
      <c r="U33" s="35"/>
      <c r="V33" s="35"/>
      <c r="W33" s="35">
        <f t="shared" si="16"/>
        <v>34946</v>
      </c>
      <c r="X33" s="35">
        <v>33200</v>
      </c>
      <c r="Y33" s="35">
        <v>750</v>
      </c>
      <c r="Z33" s="35">
        <v>996</v>
      </c>
      <c r="AA33" s="35"/>
      <c r="AB33" s="35"/>
      <c r="AC33" s="35"/>
      <c r="AD33" s="35"/>
      <c r="AE33" s="35"/>
      <c r="AF33" s="35"/>
      <c r="AG33" s="35"/>
      <c r="AH33" s="35"/>
      <c r="AI33" s="35"/>
      <c r="AJ33" s="35">
        <f t="shared" si="0"/>
        <v>34946</v>
      </c>
      <c r="AK33" s="35">
        <v>33200</v>
      </c>
      <c r="AL33" s="35">
        <v>750</v>
      </c>
      <c r="AM33" s="35">
        <v>996</v>
      </c>
      <c r="AN33" s="35"/>
      <c r="AO33" s="35"/>
      <c r="AP33" s="35"/>
      <c r="AQ33" s="35"/>
      <c r="AR33" s="35"/>
      <c r="AS33" s="35"/>
      <c r="AT33" s="35"/>
      <c r="AU33" s="35"/>
      <c r="AV33" s="35"/>
      <c r="AW33" s="35">
        <f t="shared" si="1"/>
        <v>34946</v>
      </c>
      <c r="AX33" s="35">
        <f t="shared" si="2"/>
        <v>104838</v>
      </c>
      <c r="AY33" s="35">
        <v>33200</v>
      </c>
      <c r="AZ33" s="35">
        <v>750</v>
      </c>
      <c r="BA33" s="35">
        <v>996</v>
      </c>
      <c r="BB33" s="35"/>
      <c r="BC33" s="35"/>
      <c r="BD33" s="35"/>
      <c r="BE33" s="35"/>
      <c r="BF33" s="35"/>
      <c r="BG33" s="35"/>
      <c r="BH33" s="35"/>
      <c r="BI33" s="35"/>
      <c r="BJ33" s="35"/>
      <c r="BK33" s="35">
        <f t="shared" si="5"/>
        <v>34946</v>
      </c>
      <c r="BL33" s="35">
        <v>33200</v>
      </c>
      <c r="BM33" s="35">
        <v>750</v>
      </c>
      <c r="BN33" s="35">
        <v>996</v>
      </c>
      <c r="BO33" s="35"/>
      <c r="BP33" s="35"/>
      <c r="BQ33" s="35"/>
      <c r="BR33" s="35"/>
      <c r="BS33" s="35"/>
      <c r="BT33" s="35"/>
      <c r="BU33" s="35"/>
      <c r="BV33" s="35"/>
      <c r="BW33" s="35"/>
      <c r="BX33" s="35">
        <f t="shared" si="6"/>
        <v>34946</v>
      </c>
      <c r="BY33" s="35">
        <v>33200</v>
      </c>
      <c r="BZ33" s="35">
        <v>750</v>
      </c>
      <c r="CA33" s="35">
        <v>996</v>
      </c>
      <c r="CB33" s="35"/>
      <c r="CC33" s="35"/>
      <c r="CD33" s="35"/>
      <c r="CE33" s="35"/>
      <c r="CF33" s="35"/>
      <c r="CG33" s="35"/>
      <c r="CH33" s="35"/>
      <c r="CI33" s="35"/>
      <c r="CJ33" s="35"/>
      <c r="CK33" s="35">
        <f t="shared" si="7"/>
        <v>34946</v>
      </c>
      <c r="CL33" s="35">
        <f t="shared" si="8"/>
        <v>104838</v>
      </c>
      <c r="CM33" s="35">
        <v>34860</v>
      </c>
      <c r="CN33" s="35">
        <v>750</v>
      </c>
      <c r="CO33" s="35">
        <v>1046</v>
      </c>
      <c r="CP33" s="35"/>
      <c r="CQ33" s="35"/>
      <c r="CR33" s="35"/>
      <c r="CS33" s="35"/>
      <c r="CT33" s="35"/>
      <c r="CU33" s="35"/>
      <c r="CV33" s="35"/>
      <c r="CW33" s="35"/>
      <c r="CX33" s="35"/>
      <c r="CY33" s="35">
        <f t="shared" si="9"/>
        <v>36656</v>
      </c>
      <c r="CZ33" s="35">
        <f>9960+34860</f>
        <v>44820</v>
      </c>
      <c r="DA33" s="35">
        <v>750</v>
      </c>
      <c r="DB33" s="35">
        <f>300+1046</f>
        <v>1346</v>
      </c>
      <c r="DC33" s="35"/>
      <c r="DD33" s="35"/>
      <c r="DE33" s="35"/>
      <c r="DF33" s="35"/>
      <c r="DG33" s="35"/>
      <c r="DH33" s="35"/>
      <c r="DI33" s="35"/>
      <c r="DJ33" s="35"/>
      <c r="DK33" s="35"/>
      <c r="DL33" s="35">
        <f t="shared" si="3"/>
        <v>46916</v>
      </c>
      <c r="DM33" s="35">
        <v>34860</v>
      </c>
      <c r="DN33" s="35">
        <v>750</v>
      </c>
      <c r="DO33" s="35">
        <v>1046</v>
      </c>
      <c r="DP33" s="35"/>
      <c r="DQ33" s="35"/>
      <c r="DR33" s="35"/>
      <c r="DS33" s="35"/>
      <c r="DT33" s="35"/>
      <c r="DU33" s="35"/>
      <c r="DV33" s="35"/>
      <c r="DW33" s="35"/>
      <c r="DX33" s="35"/>
      <c r="DY33" s="35">
        <f t="shared" si="10"/>
        <v>36656</v>
      </c>
      <c r="DZ33" s="35">
        <f t="shared" si="11"/>
        <v>120228</v>
      </c>
      <c r="EA33" s="35">
        <v>34860</v>
      </c>
      <c r="EB33" s="35">
        <v>750</v>
      </c>
      <c r="EC33" s="35">
        <v>1046</v>
      </c>
      <c r="ED33" s="35"/>
      <c r="EE33" s="35"/>
      <c r="EF33" s="35"/>
      <c r="EG33" s="35"/>
      <c r="EH33" s="35"/>
      <c r="EI33" s="35"/>
      <c r="EJ33" s="35"/>
      <c r="EK33" s="35"/>
      <c r="EL33" s="35"/>
      <c r="EM33" s="35">
        <f t="shared" si="12"/>
        <v>36656</v>
      </c>
      <c r="EN33" s="35">
        <v>34860</v>
      </c>
      <c r="EO33" s="35">
        <v>750</v>
      </c>
      <c r="EP33" s="35">
        <v>1046</v>
      </c>
      <c r="EQ33" s="35"/>
      <c r="ER33" s="35"/>
      <c r="ES33" s="35"/>
      <c r="ET33" s="35"/>
      <c r="EU33" s="35"/>
      <c r="EV33" s="35"/>
      <c r="EW33" s="35"/>
      <c r="EX33" s="35"/>
      <c r="EY33" s="35"/>
      <c r="EZ33" s="35">
        <f t="shared" si="4"/>
        <v>36656</v>
      </c>
      <c r="FA33" s="35">
        <v>34860</v>
      </c>
      <c r="FB33" s="35">
        <v>750</v>
      </c>
      <c r="FC33" s="35">
        <v>1046</v>
      </c>
      <c r="FD33" s="35"/>
      <c r="FE33" s="35"/>
      <c r="FF33" s="35"/>
      <c r="FG33" s="35"/>
      <c r="FH33" s="35"/>
      <c r="FI33" s="35"/>
      <c r="FJ33" s="35"/>
      <c r="FK33" s="35"/>
      <c r="FL33" s="35"/>
      <c r="FM33" s="35">
        <f t="shared" si="13"/>
        <v>36656</v>
      </c>
      <c r="FN33" s="35">
        <f t="shared" si="14"/>
        <v>109968</v>
      </c>
      <c r="FO33" s="35">
        <f t="shared" si="15"/>
        <v>439872</v>
      </c>
    </row>
    <row r="34" spans="1:171" x14ac:dyDescent="0.35">
      <c r="A34" s="34"/>
      <c r="B34" s="40"/>
      <c r="C34" s="58"/>
      <c r="D34" s="79" t="s">
        <v>141</v>
      </c>
      <c r="E34" s="40" t="s">
        <v>8</v>
      </c>
      <c r="F34" s="58" t="s">
        <v>17</v>
      </c>
      <c r="G34" s="58"/>
      <c r="H34" s="58"/>
      <c r="I34" s="58"/>
      <c r="J34" s="58"/>
      <c r="K34" s="35">
        <v>33200</v>
      </c>
      <c r="L34" s="35">
        <v>750</v>
      </c>
      <c r="M34" s="35">
        <v>996</v>
      </c>
      <c r="N34" s="35"/>
      <c r="O34" s="35"/>
      <c r="P34" s="35"/>
      <c r="Q34" s="35"/>
      <c r="R34" s="35"/>
      <c r="S34" s="35"/>
      <c r="T34" s="35"/>
      <c r="U34" s="35"/>
      <c r="V34" s="35"/>
      <c r="W34" s="35">
        <f t="shared" si="16"/>
        <v>34946</v>
      </c>
      <c r="X34" s="35">
        <v>33200</v>
      </c>
      <c r="Y34" s="35">
        <v>750</v>
      </c>
      <c r="Z34" s="35">
        <v>996</v>
      </c>
      <c r="AA34" s="35"/>
      <c r="AB34" s="35"/>
      <c r="AC34" s="35"/>
      <c r="AD34" s="35"/>
      <c r="AE34" s="35"/>
      <c r="AF34" s="35"/>
      <c r="AG34" s="35"/>
      <c r="AH34" s="35"/>
      <c r="AI34" s="35"/>
      <c r="AJ34" s="35">
        <f t="shared" si="0"/>
        <v>34946</v>
      </c>
      <c r="AK34" s="35">
        <v>33200</v>
      </c>
      <c r="AL34" s="35">
        <v>750</v>
      </c>
      <c r="AM34" s="35">
        <v>996</v>
      </c>
      <c r="AN34" s="35"/>
      <c r="AO34" s="35"/>
      <c r="AP34" s="35"/>
      <c r="AQ34" s="35"/>
      <c r="AR34" s="35"/>
      <c r="AS34" s="35"/>
      <c r="AT34" s="35"/>
      <c r="AU34" s="35"/>
      <c r="AV34" s="35"/>
      <c r="AW34" s="35">
        <f t="shared" si="1"/>
        <v>34946</v>
      </c>
      <c r="AX34" s="35">
        <f t="shared" si="2"/>
        <v>104838</v>
      </c>
      <c r="AY34" s="35">
        <v>33200</v>
      </c>
      <c r="AZ34" s="35">
        <v>750</v>
      </c>
      <c r="BA34" s="35">
        <v>996</v>
      </c>
      <c r="BB34" s="35"/>
      <c r="BC34" s="35"/>
      <c r="BD34" s="35"/>
      <c r="BE34" s="35"/>
      <c r="BF34" s="35"/>
      <c r="BG34" s="35"/>
      <c r="BH34" s="35"/>
      <c r="BI34" s="35"/>
      <c r="BJ34" s="35"/>
      <c r="BK34" s="35">
        <f t="shared" si="5"/>
        <v>34946</v>
      </c>
      <c r="BL34" s="35">
        <v>33200</v>
      </c>
      <c r="BM34" s="35">
        <v>750</v>
      </c>
      <c r="BN34" s="35">
        <v>996</v>
      </c>
      <c r="BO34" s="35"/>
      <c r="BP34" s="35"/>
      <c r="BQ34" s="35"/>
      <c r="BR34" s="35"/>
      <c r="BS34" s="35"/>
      <c r="BT34" s="35"/>
      <c r="BU34" s="35"/>
      <c r="BV34" s="35"/>
      <c r="BW34" s="35"/>
      <c r="BX34" s="35">
        <f t="shared" si="6"/>
        <v>34946</v>
      </c>
      <c r="BY34" s="35">
        <v>33200</v>
      </c>
      <c r="BZ34" s="35">
        <v>750</v>
      </c>
      <c r="CA34" s="35">
        <v>996</v>
      </c>
      <c r="CB34" s="35"/>
      <c r="CC34" s="35"/>
      <c r="CD34" s="35"/>
      <c r="CE34" s="35"/>
      <c r="CF34" s="35"/>
      <c r="CG34" s="35"/>
      <c r="CH34" s="35"/>
      <c r="CI34" s="35"/>
      <c r="CJ34" s="35"/>
      <c r="CK34" s="35">
        <f t="shared" si="7"/>
        <v>34946</v>
      </c>
      <c r="CL34" s="35">
        <f t="shared" si="8"/>
        <v>104838</v>
      </c>
      <c r="CM34" s="35">
        <v>34860</v>
      </c>
      <c r="CN34" s="35">
        <v>750</v>
      </c>
      <c r="CO34" s="35">
        <v>1046</v>
      </c>
      <c r="CP34" s="35"/>
      <c r="CQ34" s="35"/>
      <c r="CR34" s="35"/>
      <c r="CS34" s="35"/>
      <c r="CT34" s="35"/>
      <c r="CU34" s="35"/>
      <c r="CV34" s="35"/>
      <c r="CW34" s="35"/>
      <c r="CX34" s="35"/>
      <c r="CY34" s="35">
        <f t="shared" si="9"/>
        <v>36656</v>
      </c>
      <c r="CZ34" s="35">
        <f>9960+34860</f>
        <v>44820</v>
      </c>
      <c r="DA34" s="35">
        <v>750</v>
      </c>
      <c r="DB34" s="35">
        <f>300+1046</f>
        <v>1346</v>
      </c>
      <c r="DC34" s="35"/>
      <c r="DD34" s="35"/>
      <c r="DE34" s="35"/>
      <c r="DF34" s="35"/>
      <c r="DG34" s="35"/>
      <c r="DH34" s="35"/>
      <c r="DI34" s="35"/>
      <c r="DJ34" s="35"/>
      <c r="DK34" s="35"/>
      <c r="DL34" s="35">
        <f t="shared" si="3"/>
        <v>46916</v>
      </c>
      <c r="DM34" s="35">
        <v>34860</v>
      </c>
      <c r="DN34" s="35">
        <v>750</v>
      </c>
      <c r="DO34" s="35">
        <v>1046</v>
      </c>
      <c r="DP34" s="35"/>
      <c r="DQ34" s="35"/>
      <c r="DR34" s="35"/>
      <c r="DS34" s="35"/>
      <c r="DT34" s="35"/>
      <c r="DU34" s="35"/>
      <c r="DV34" s="35"/>
      <c r="DW34" s="35"/>
      <c r="DX34" s="35"/>
      <c r="DY34" s="35">
        <f t="shared" si="10"/>
        <v>36656</v>
      </c>
      <c r="DZ34" s="35">
        <f t="shared" si="11"/>
        <v>120228</v>
      </c>
      <c r="EA34" s="35">
        <v>34860</v>
      </c>
      <c r="EB34" s="35">
        <v>750</v>
      </c>
      <c r="EC34" s="35">
        <v>1046</v>
      </c>
      <c r="ED34" s="35"/>
      <c r="EE34" s="35"/>
      <c r="EF34" s="35"/>
      <c r="EG34" s="35"/>
      <c r="EH34" s="35"/>
      <c r="EI34" s="35"/>
      <c r="EJ34" s="35"/>
      <c r="EK34" s="35"/>
      <c r="EL34" s="35"/>
      <c r="EM34" s="35">
        <f t="shared" si="12"/>
        <v>36656</v>
      </c>
      <c r="EN34" s="35">
        <v>34860</v>
      </c>
      <c r="EO34" s="35">
        <v>750</v>
      </c>
      <c r="EP34" s="35">
        <v>1046</v>
      </c>
      <c r="EQ34" s="35"/>
      <c r="ER34" s="35"/>
      <c r="ES34" s="35"/>
      <c r="ET34" s="35"/>
      <c r="EU34" s="35"/>
      <c r="EV34" s="35"/>
      <c r="EW34" s="35"/>
      <c r="EX34" s="35"/>
      <c r="EY34" s="35"/>
      <c r="EZ34" s="35">
        <f t="shared" si="4"/>
        <v>36656</v>
      </c>
      <c r="FA34" s="35">
        <v>34860</v>
      </c>
      <c r="FB34" s="35">
        <v>750</v>
      </c>
      <c r="FC34" s="35">
        <v>1046</v>
      </c>
      <c r="FD34" s="35"/>
      <c r="FE34" s="35"/>
      <c r="FF34" s="35"/>
      <c r="FG34" s="35"/>
      <c r="FH34" s="35"/>
      <c r="FI34" s="35"/>
      <c r="FJ34" s="35"/>
      <c r="FK34" s="35"/>
      <c r="FL34" s="35"/>
      <c r="FM34" s="35">
        <f t="shared" si="13"/>
        <v>36656</v>
      </c>
      <c r="FN34" s="35">
        <f t="shared" si="14"/>
        <v>109968</v>
      </c>
      <c r="FO34" s="35">
        <f t="shared" si="15"/>
        <v>439872</v>
      </c>
    </row>
    <row r="35" spans="1:171" x14ac:dyDescent="0.35">
      <c r="A35" s="34"/>
      <c r="B35" s="40"/>
      <c r="C35" s="58"/>
      <c r="D35" s="79" t="s">
        <v>229</v>
      </c>
      <c r="E35" s="40" t="s">
        <v>8</v>
      </c>
      <c r="F35" s="58" t="s">
        <v>17</v>
      </c>
      <c r="G35" s="58"/>
      <c r="H35" s="58"/>
      <c r="I35" s="58"/>
      <c r="J35" s="58"/>
      <c r="K35" s="35">
        <v>29050</v>
      </c>
      <c r="L35" s="35">
        <v>750</v>
      </c>
      <c r="M35" s="35">
        <v>872</v>
      </c>
      <c r="N35" s="35"/>
      <c r="O35" s="35"/>
      <c r="P35" s="35"/>
      <c r="Q35" s="35"/>
      <c r="R35" s="35"/>
      <c r="S35" s="35"/>
      <c r="T35" s="35"/>
      <c r="U35" s="35"/>
      <c r="V35" s="35"/>
      <c r="W35" s="35">
        <f t="shared" si="16"/>
        <v>30672</v>
      </c>
      <c r="X35" s="35">
        <v>29050</v>
      </c>
      <c r="Y35" s="35">
        <v>750</v>
      </c>
      <c r="Z35" s="35">
        <v>872</v>
      </c>
      <c r="AA35" s="35"/>
      <c r="AB35" s="35"/>
      <c r="AC35" s="35"/>
      <c r="AD35" s="35"/>
      <c r="AE35" s="35"/>
      <c r="AF35" s="35"/>
      <c r="AG35" s="35"/>
      <c r="AH35" s="35"/>
      <c r="AI35" s="35"/>
      <c r="AJ35" s="35">
        <f t="shared" si="0"/>
        <v>30672</v>
      </c>
      <c r="AK35" s="35">
        <v>29050</v>
      </c>
      <c r="AL35" s="35">
        <v>750</v>
      </c>
      <c r="AM35" s="35">
        <v>872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>
        <f t="shared" si="1"/>
        <v>30672</v>
      </c>
      <c r="AX35" s="35">
        <f t="shared" si="2"/>
        <v>92016</v>
      </c>
      <c r="AY35" s="35">
        <v>29050</v>
      </c>
      <c r="AZ35" s="35">
        <v>750</v>
      </c>
      <c r="BA35" s="35">
        <v>872</v>
      </c>
      <c r="BB35" s="35"/>
      <c r="BC35" s="35"/>
      <c r="BD35" s="35"/>
      <c r="BE35" s="35"/>
      <c r="BF35" s="35"/>
      <c r="BG35" s="35"/>
      <c r="BH35" s="35"/>
      <c r="BI35" s="35"/>
      <c r="BJ35" s="35"/>
      <c r="BK35" s="35">
        <f t="shared" si="5"/>
        <v>30672</v>
      </c>
      <c r="BL35" s="35">
        <v>29050</v>
      </c>
      <c r="BM35" s="35">
        <v>750</v>
      </c>
      <c r="BN35" s="35">
        <v>872</v>
      </c>
      <c r="BO35" s="35"/>
      <c r="BP35" s="35"/>
      <c r="BQ35" s="35"/>
      <c r="BR35" s="35"/>
      <c r="BS35" s="35"/>
      <c r="BT35" s="35"/>
      <c r="BU35" s="35"/>
      <c r="BV35" s="35"/>
      <c r="BW35" s="35"/>
      <c r="BX35" s="35">
        <f t="shared" si="6"/>
        <v>30672</v>
      </c>
      <c r="BY35" s="35">
        <v>29050</v>
      </c>
      <c r="BZ35" s="35">
        <v>750</v>
      </c>
      <c r="CA35" s="35">
        <v>872</v>
      </c>
      <c r="CB35" s="35"/>
      <c r="CC35" s="35"/>
      <c r="CD35" s="35"/>
      <c r="CE35" s="35"/>
      <c r="CF35" s="35"/>
      <c r="CG35" s="35"/>
      <c r="CH35" s="35"/>
      <c r="CI35" s="35"/>
      <c r="CJ35" s="35"/>
      <c r="CK35" s="35">
        <f t="shared" si="7"/>
        <v>30672</v>
      </c>
      <c r="CL35" s="35">
        <f t="shared" si="8"/>
        <v>92016</v>
      </c>
      <c r="CM35" s="35">
        <v>30510</v>
      </c>
      <c r="CN35" s="35">
        <v>750</v>
      </c>
      <c r="CO35" s="35">
        <v>915</v>
      </c>
      <c r="CP35" s="35"/>
      <c r="CQ35" s="35"/>
      <c r="CR35" s="35"/>
      <c r="CS35" s="35"/>
      <c r="CT35" s="35"/>
      <c r="CU35" s="35"/>
      <c r="CV35" s="35"/>
      <c r="CW35" s="35"/>
      <c r="CX35" s="35"/>
      <c r="CY35" s="35">
        <f t="shared" si="9"/>
        <v>32175</v>
      </c>
      <c r="CZ35" s="35">
        <f>8760+30510</f>
        <v>39270</v>
      </c>
      <c r="DA35" s="35">
        <v>750</v>
      </c>
      <c r="DB35" s="35">
        <f>264+915</f>
        <v>1179</v>
      </c>
      <c r="DC35" s="35"/>
      <c r="DD35" s="35"/>
      <c r="DE35" s="35"/>
      <c r="DF35" s="35"/>
      <c r="DG35" s="35"/>
      <c r="DH35" s="35"/>
      <c r="DI35" s="35"/>
      <c r="DJ35" s="35"/>
      <c r="DK35" s="35"/>
      <c r="DL35" s="35">
        <f t="shared" si="3"/>
        <v>41199</v>
      </c>
      <c r="DM35" s="35">
        <v>30510</v>
      </c>
      <c r="DN35" s="35">
        <v>750</v>
      </c>
      <c r="DO35" s="35">
        <v>915</v>
      </c>
      <c r="DP35" s="35"/>
      <c r="DQ35" s="35"/>
      <c r="DR35" s="35"/>
      <c r="DS35" s="35"/>
      <c r="DT35" s="35"/>
      <c r="DU35" s="35"/>
      <c r="DV35" s="35"/>
      <c r="DW35" s="35"/>
      <c r="DX35" s="35"/>
      <c r="DY35" s="35">
        <f t="shared" si="10"/>
        <v>32175</v>
      </c>
      <c r="DZ35" s="35">
        <f t="shared" si="11"/>
        <v>105549</v>
      </c>
      <c r="EA35" s="35">
        <f>31500+3768.39</f>
        <v>35268.39</v>
      </c>
      <c r="EB35" s="35">
        <v>750</v>
      </c>
      <c r="EC35" s="35">
        <f>945+114</f>
        <v>1059</v>
      </c>
      <c r="ED35" s="35"/>
      <c r="EE35" s="35"/>
      <c r="EF35" s="35"/>
      <c r="EG35" s="35"/>
      <c r="EH35" s="35"/>
      <c r="EI35" s="35"/>
      <c r="EJ35" s="35"/>
      <c r="EK35" s="35"/>
      <c r="EL35" s="35"/>
      <c r="EM35" s="35">
        <f t="shared" si="12"/>
        <v>37077.39</v>
      </c>
      <c r="EN35" s="35">
        <f>31500</f>
        <v>31500</v>
      </c>
      <c r="EO35" s="35">
        <v>750</v>
      </c>
      <c r="EP35" s="35">
        <f>945</f>
        <v>945</v>
      </c>
      <c r="EQ35" s="35"/>
      <c r="ER35" s="35"/>
      <c r="ES35" s="35"/>
      <c r="ET35" s="35"/>
      <c r="EU35" s="35"/>
      <c r="EV35" s="35"/>
      <c r="EW35" s="35"/>
      <c r="EX35" s="35"/>
      <c r="EY35" s="35"/>
      <c r="EZ35" s="35">
        <f t="shared" si="4"/>
        <v>33195</v>
      </c>
      <c r="FA35" s="35">
        <f>31500</f>
        <v>31500</v>
      </c>
      <c r="FB35" s="35">
        <v>750</v>
      </c>
      <c r="FC35" s="35">
        <f>945</f>
        <v>945</v>
      </c>
      <c r="FD35" s="35"/>
      <c r="FE35" s="35"/>
      <c r="FF35" s="35"/>
      <c r="FG35" s="35"/>
      <c r="FH35" s="35"/>
      <c r="FI35" s="35"/>
      <c r="FJ35" s="35"/>
      <c r="FK35" s="35"/>
      <c r="FL35" s="35"/>
      <c r="FM35" s="35">
        <f t="shared" si="13"/>
        <v>33195</v>
      </c>
      <c r="FN35" s="35">
        <f t="shared" si="14"/>
        <v>103467.39</v>
      </c>
      <c r="FO35" s="35">
        <f t="shared" si="15"/>
        <v>393048.39</v>
      </c>
    </row>
    <row r="36" spans="1:171" x14ac:dyDescent="0.35">
      <c r="A36" s="34"/>
      <c r="B36" s="40"/>
      <c r="C36" s="58"/>
      <c r="D36" s="79" t="s">
        <v>142</v>
      </c>
      <c r="E36" s="40" t="s">
        <v>8</v>
      </c>
      <c r="F36" s="58" t="s">
        <v>17</v>
      </c>
      <c r="G36" s="58"/>
      <c r="H36" s="58"/>
      <c r="I36" s="58"/>
      <c r="J36" s="58"/>
      <c r="K36" s="35">
        <v>33120</v>
      </c>
      <c r="L36" s="35">
        <v>750</v>
      </c>
      <c r="M36" s="35">
        <v>0</v>
      </c>
      <c r="N36" s="35"/>
      <c r="O36" s="35"/>
      <c r="P36" s="35"/>
      <c r="Q36" s="35"/>
      <c r="R36" s="35"/>
      <c r="S36" s="35"/>
      <c r="T36" s="35"/>
      <c r="U36" s="35"/>
      <c r="V36" s="35"/>
      <c r="W36" s="35">
        <f t="shared" si="16"/>
        <v>33870</v>
      </c>
      <c r="X36" s="35">
        <v>33120</v>
      </c>
      <c r="Y36" s="35">
        <v>750</v>
      </c>
      <c r="Z36" s="35">
        <v>0</v>
      </c>
      <c r="AA36" s="35"/>
      <c r="AB36" s="35"/>
      <c r="AC36" s="35"/>
      <c r="AD36" s="35"/>
      <c r="AE36" s="35"/>
      <c r="AF36" s="35"/>
      <c r="AG36" s="35"/>
      <c r="AH36" s="35"/>
      <c r="AI36" s="35"/>
      <c r="AJ36" s="35">
        <f t="shared" si="0"/>
        <v>33870</v>
      </c>
      <c r="AK36" s="35">
        <v>33120</v>
      </c>
      <c r="AL36" s="35">
        <v>750</v>
      </c>
      <c r="AM36" s="35"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>
        <f t="shared" si="1"/>
        <v>33870</v>
      </c>
      <c r="AX36" s="35">
        <f t="shared" si="2"/>
        <v>101610</v>
      </c>
      <c r="AY36" s="35">
        <v>33120</v>
      </c>
      <c r="AZ36" s="35">
        <v>750</v>
      </c>
      <c r="BA36" s="35">
        <v>0</v>
      </c>
      <c r="BB36" s="35"/>
      <c r="BC36" s="35"/>
      <c r="BD36" s="35"/>
      <c r="BE36" s="35"/>
      <c r="BF36" s="35"/>
      <c r="BG36" s="35"/>
      <c r="BH36" s="35"/>
      <c r="BI36" s="35"/>
      <c r="BJ36" s="35"/>
      <c r="BK36" s="35">
        <f t="shared" si="5"/>
        <v>33870</v>
      </c>
      <c r="BL36" s="35">
        <v>33120</v>
      </c>
      <c r="BM36" s="35">
        <v>750</v>
      </c>
      <c r="BN36" s="35">
        <v>0</v>
      </c>
      <c r="BO36" s="35"/>
      <c r="BP36" s="35"/>
      <c r="BQ36" s="35"/>
      <c r="BR36" s="35"/>
      <c r="BS36" s="35"/>
      <c r="BT36" s="35"/>
      <c r="BU36" s="35"/>
      <c r="BV36" s="35"/>
      <c r="BW36" s="35"/>
      <c r="BX36" s="35">
        <f t="shared" si="6"/>
        <v>33870</v>
      </c>
      <c r="BY36" s="35">
        <v>33120</v>
      </c>
      <c r="BZ36" s="35">
        <v>750</v>
      </c>
      <c r="CA36" s="35">
        <v>0</v>
      </c>
      <c r="CB36" s="35"/>
      <c r="CC36" s="35"/>
      <c r="CD36" s="35"/>
      <c r="CE36" s="35"/>
      <c r="CF36" s="35"/>
      <c r="CG36" s="35"/>
      <c r="CH36" s="35"/>
      <c r="CI36" s="35"/>
      <c r="CJ36" s="35"/>
      <c r="CK36" s="35">
        <f t="shared" si="7"/>
        <v>33870</v>
      </c>
      <c r="CL36" s="35">
        <f t="shared" si="8"/>
        <v>101610</v>
      </c>
      <c r="CM36" s="35">
        <v>34630</v>
      </c>
      <c r="CN36" s="35">
        <v>750</v>
      </c>
      <c r="CO36" s="35">
        <v>0</v>
      </c>
      <c r="CP36" s="35"/>
      <c r="CQ36" s="35"/>
      <c r="CR36" s="35"/>
      <c r="CS36" s="35"/>
      <c r="CT36" s="35"/>
      <c r="CU36" s="35"/>
      <c r="CV36" s="35"/>
      <c r="CW36" s="35"/>
      <c r="CX36" s="35"/>
      <c r="CY36" s="35">
        <f t="shared" si="9"/>
        <v>35380</v>
      </c>
      <c r="CZ36" s="35">
        <f>9060+34630</f>
        <v>43690</v>
      </c>
      <c r="DA36" s="35">
        <v>750</v>
      </c>
      <c r="DB36" s="35">
        <v>0</v>
      </c>
      <c r="DC36" s="35"/>
      <c r="DD36" s="35"/>
      <c r="DE36" s="35"/>
      <c r="DF36" s="35"/>
      <c r="DG36" s="35"/>
      <c r="DH36" s="35"/>
      <c r="DI36" s="35"/>
      <c r="DJ36" s="35"/>
      <c r="DK36" s="35"/>
      <c r="DL36" s="35">
        <f t="shared" si="3"/>
        <v>44440</v>
      </c>
      <c r="DM36" s="35">
        <v>34630</v>
      </c>
      <c r="DN36" s="35">
        <v>750</v>
      </c>
      <c r="DO36" s="35">
        <v>0</v>
      </c>
      <c r="DP36" s="35"/>
      <c r="DQ36" s="35"/>
      <c r="DR36" s="35"/>
      <c r="DS36" s="35"/>
      <c r="DT36" s="35"/>
      <c r="DU36" s="35"/>
      <c r="DV36" s="35"/>
      <c r="DW36" s="35"/>
      <c r="DX36" s="35"/>
      <c r="DY36" s="35">
        <f t="shared" si="10"/>
        <v>35380</v>
      </c>
      <c r="DZ36" s="35">
        <f t="shared" si="11"/>
        <v>115200</v>
      </c>
      <c r="EA36" s="35">
        <v>34630</v>
      </c>
      <c r="EB36" s="35">
        <v>750</v>
      </c>
      <c r="EC36" s="35">
        <v>0</v>
      </c>
      <c r="ED36" s="35"/>
      <c r="EE36" s="35"/>
      <c r="EF36" s="35"/>
      <c r="EG36" s="35"/>
      <c r="EH36" s="35"/>
      <c r="EI36" s="35"/>
      <c r="EJ36" s="35"/>
      <c r="EK36" s="35"/>
      <c r="EL36" s="35"/>
      <c r="EM36" s="35">
        <f t="shared" si="12"/>
        <v>35380</v>
      </c>
      <c r="EN36" s="35">
        <v>34630</v>
      </c>
      <c r="EO36" s="35">
        <v>750</v>
      </c>
      <c r="EP36" s="35">
        <v>0</v>
      </c>
      <c r="EQ36" s="35"/>
      <c r="ER36" s="35"/>
      <c r="ES36" s="35"/>
      <c r="ET36" s="35"/>
      <c r="EU36" s="35"/>
      <c r="EV36" s="35"/>
      <c r="EW36" s="35"/>
      <c r="EX36" s="35"/>
      <c r="EY36" s="35"/>
      <c r="EZ36" s="35">
        <f t="shared" si="4"/>
        <v>35380</v>
      </c>
      <c r="FA36" s="35">
        <v>34630</v>
      </c>
      <c r="FB36" s="35">
        <v>750</v>
      </c>
      <c r="FC36" s="35">
        <v>0</v>
      </c>
      <c r="FD36" s="35"/>
      <c r="FE36" s="35"/>
      <c r="FF36" s="35"/>
      <c r="FG36" s="35"/>
      <c r="FH36" s="35"/>
      <c r="FI36" s="35"/>
      <c r="FJ36" s="35"/>
      <c r="FK36" s="35"/>
      <c r="FL36" s="35"/>
      <c r="FM36" s="35">
        <f t="shared" si="13"/>
        <v>35380</v>
      </c>
      <c r="FN36" s="35">
        <f t="shared" si="14"/>
        <v>106140</v>
      </c>
      <c r="FO36" s="35">
        <f t="shared" si="15"/>
        <v>424560</v>
      </c>
    </row>
    <row r="37" spans="1:171" x14ac:dyDescent="0.35">
      <c r="A37" s="34"/>
      <c r="B37" s="40"/>
      <c r="C37" s="58"/>
      <c r="D37" s="79" t="s">
        <v>143</v>
      </c>
      <c r="E37" s="40" t="s">
        <v>8</v>
      </c>
      <c r="F37" s="58" t="s">
        <v>17</v>
      </c>
      <c r="G37" s="58"/>
      <c r="H37" s="58"/>
      <c r="I37" s="58"/>
      <c r="J37" s="58"/>
      <c r="K37" s="35">
        <v>33140</v>
      </c>
      <c r="L37" s="35">
        <v>750</v>
      </c>
      <c r="M37" s="35">
        <v>994</v>
      </c>
      <c r="N37" s="35"/>
      <c r="O37" s="35"/>
      <c r="P37" s="35"/>
      <c r="Q37" s="35"/>
      <c r="R37" s="35"/>
      <c r="S37" s="35"/>
      <c r="T37" s="35"/>
      <c r="U37" s="35"/>
      <c r="V37" s="35"/>
      <c r="W37" s="35">
        <f t="shared" si="16"/>
        <v>34884</v>
      </c>
      <c r="X37" s="35">
        <v>33140</v>
      </c>
      <c r="Y37" s="35">
        <v>750</v>
      </c>
      <c r="Z37" s="35">
        <v>994</v>
      </c>
      <c r="AA37" s="35"/>
      <c r="AB37" s="35"/>
      <c r="AC37" s="35"/>
      <c r="AD37" s="35"/>
      <c r="AE37" s="35"/>
      <c r="AF37" s="35"/>
      <c r="AG37" s="35"/>
      <c r="AH37" s="35"/>
      <c r="AI37" s="35"/>
      <c r="AJ37" s="35">
        <f t="shared" si="0"/>
        <v>34884</v>
      </c>
      <c r="AK37" s="35">
        <v>33140</v>
      </c>
      <c r="AL37" s="35">
        <v>750</v>
      </c>
      <c r="AM37" s="35">
        <v>994</v>
      </c>
      <c r="AN37" s="35"/>
      <c r="AO37" s="35"/>
      <c r="AP37" s="35"/>
      <c r="AQ37" s="35"/>
      <c r="AR37" s="35"/>
      <c r="AS37" s="35"/>
      <c r="AT37" s="35"/>
      <c r="AU37" s="35"/>
      <c r="AV37" s="35"/>
      <c r="AW37" s="35">
        <f t="shared" si="1"/>
        <v>34884</v>
      </c>
      <c r="AX37" s="35">
        <f t="shared" si="2"/>
        <v>104652</v>
      </c>
      <c r="AY37" s="35">
        <v>33140</v>
      </c>
      <c r="AZ37" s="35">
        <v>750</v>
      </c>
      <c r="BA37" s="35">
        <v>994</v>
      </c>
      <c r="BB37" s="35"/>
      <c r="BC37" s="35"/>
      <c r="BD37" s="35"/>
      <c r="BE37" s="35"/>
      <c r="BF37" s="35"/>
      <c r="BG37" s="35"/>
      <c r="BH37" s="35"/>
      <c r="BI37" s="35"/>
      <c r="BJ37" s="35"/>
      <c r="BK37" s="35">
        <f t="shared" si="5"/>
        <v>34884</v>
      </c>
      <c r="BL37" s="35">
        <v>33140</v>
      </c>
      <c r="BM37" s="35">
        <v>750</v>
      </c>
      <c r="BN37" s="35">
        <v>994</v>
      </c>
      <c r="BO37" s="35"/>
      <c r="BP37" s="35"/>
      <c r="BQ37" s="35"/>
      <c r="BR37" s="35"/>
      <c r="BS37" s="35"/>
      <c r="BT37" s="35"/>
      <c r="BU37" s="35"/>
      <c r="BV37" s="35"/>
      <c r="BW37" s="35"/>
      <c r="BX37" s="35">
        <f t="shared" si="6"/>
        <v>34884</v>
      </c>
      <c r="BY37" s="35">
        <v>33140</v>
      </c>
      <c r="BZ37" s="35">
        <v>750</v>
      </c>
      <c r="CA37" s="35">
        <v>994</v>
      </c>
      <c r="CB37" s="35"/>
      <c r="CC37" s="35"/>
      <c r="CD37" s="35"/>
      <c r="CE37" s="35"/>
      <c r="CF37" s="35"/>
      <c r="CG37" s="35"/>
      <c r="CH37" s="35"/>
      <c r="CI37" s="35"/>
      <c r="CJ37" s="35"/>
      <c r="CK37" s="35">
        <f t="shared" si="7"/>
        <v>34884</v>
      </c>
      <c r="CL37" s="35">
        <f t="shared" si="8"/>
        <v>104652</v>
      </c>
      <c r="CM37" s="35">
        <v>34800</v>
      </c>
      <c r="CN37" s="35">
        <v>750</v>
      </c>
      <c r="CO37" s="35">
        <v>1044</v>
      </c>
      <c r="CP37" s="35"/>
      <c r="CQ37" s="35"/>
      <c r="CR37" s="35"/>
      <c r="CS37" s="35"/>
      <c r="CT37" s="35"/>
      <c r="CU37" s="35"/>
      <c r="CV37" s="35"/>
      <c r="CW37" s="35"/>
      <c r="CX37" s="35"/>
      <c r="CY37" s="35">
        <f t="shared" si="9"/>
        <v>36594</v>
      </c>
      <c r="CZ37" s="35">
        <f>9960+34800</f>
        <v>44760</v>
      </c>
      <c r="DA37" s="35">
        <v>750</v>
      </c>
      <c r="DB37" s="35">
        <f>300+1044</f>
        <v>1344</v>
      </c>
      <c r="DC37" s="35"/>
      <c r="DD37" s="35"/>
      <c r="DE37" s="35"/>
      <c r="DF37" s="35"/>
      <c r="DG37" s="35"/>
      <c r="DH37" s="35"/>
      <c r="DI37" s="35"/>
      <c r="DJ37" s="35"/>
      <c r="DK37" s="35"/>
      <c r="DL37" s="35">
        <f t="shared" si="3"/>
        <v>46854</v>
      </c>
      <c r="DM37" s="35">
        <v>34800</v>
      </c>
      <c r="DN37" s="35">
        <v>750</v>
      </c>
      <c r="DO37" s="35">
        <v>1044</v>
      </c>
      <c r="DP37" s="35"/>
      <c r="DQ37" s="35"/>
      <c r="DR37" s="35"/>
      <c r="DS37" s="35"/>
      <c r="DT37" s="35"/>
      <c r="DU37" s="35"/>
      <c r="DV37" s="35"/>
      <c r="DW37" s="35"/>
      <c r="DX37" s="35"/>
      <c r="DY37" s="35">
        <f t="shared" si="10"/>
        <v>36594</v>
      </c>
      <c r="DZ37" s="35">
        <f t="shared" si="11"/>
        <v>120042</v>
      </c>
      <c r="EA37" s="35">
        <v>34800</v>
      </c>
      <c r="EB37" s="35">
        <v>750</v>
      </c>
      <c r="EC37" s="35">
        <v>1044</v>
      </c>
      <c r="ED37" s="35"/>
      <c r="EE37" s="35"/>
      <c r="EF37" s="35"/>
      <c r="EG37" s="35"/>
      <c r="EH37" s="35"/>
      <c r="EI37" s="35"/>
      <c r="EJ37" s="35"/>
      <c r="EK37" s="35"/>
      <c r="EL37" s="35"/>
      <c r="EM37" s="35">
        <f t="shared" si="12"/>
        <v>36594</v>
      </c>
      <c r="EN37" s="35">
        <v>34800</v>
      </c>
      <c r="EO37" s="35">
        <v>750</v>
      </c>
      <c r="EP37" s="35">
        <v>1044</v>
      </c>
      <c r="EQ37" s="35"/>
      <c r="ER37" s="35"/>
      <c r="ES37" s="35"/>
      <c r="ET37" s="35"/>
      <c r="EU37" s="35"/>
      <c r="EV37" s="35"/>
      <c r="EW37" s="35"/>
      <c r="EX37" s="35"/>
      <c r="EY37" s="35"/>
      <c r="EZ37" s="35">
        <f t="shared" si="4"/>
        <v>36594</v>
      </c>
      <c r="FA37" s="35">
        <v>34800</v>
      </c>
      <c r="FB37" s="35">
        <v>750</v>
      </c>
      <c r="FC37" s="35">
        <v>1044</v>
      </c>
      <c r="FD37" s="35"/>
      <c r="FE37" s="35"/>
      <c r="FF37" s="35"/>
      <c r="FG37" s="35"/>
      <c r="FH37" s="35"/>
      <c r="FI37" s="35"/>
      <c r="FJ37" s="35"/>
      <c r="FK37" s="35"/>
      <c r="FL37" s="35"/>
      <c r="FM37" s="35">
        <f t="shared" si="13"/>
        <v>36594</v>
      </c>
      <c r="FN37" s="35">
        <f t="shared" si="14"/>
        <v>109782</v>
      </c>
      <c r="FO37" s="35">
        <f t="shared" si="15"/>
        <v>439128</v>
      </c>
    </row>
    <row r="38" spans="1:171" x14ac:dyDescent="0.35">
      <c r="A38" s="34"/>
      <c r="B38" s="40"/>
      <c r="C38" s="58"/>
      <c r="D38" s="79" t="s">
        <v>144</v>
      </c>
      <c r="E38" s="40" t="s">
        <v>8</v>
      </c>
      <c r="F38" s="58" t="s">
        <v>17</v>
      </c>
      <c r="G38" s="58"/>
      <c r="H38" s="58"/>
      <c r="I38" s="58"/>
      <c r="J38" s="58"/>
      <c r="K38" s="35">
        <v>33120</v>
      </c>
      <c r="L38" s="35">
        <v>750</v>
      </c>
      <c r="M38" s="35">
        <v>994</v>
      </c>
      <c r="N38" s="35"/>
      <c r="O38" s="35"/>
      <c r="P38" s="35"/>
      <c r="Q38" s="35"/>
      <c r="R38" s="35"/>
      <c r="S38" s="35"/>
      <c r="T38" s="35"/>
      <c r="U38" s="35"/>
      <c r="V38" s="35"/>
      <c r="W38" s="35">
        <f t="shared" si="16"/>
        <v>34864</v>
      </c>
      <c r="X38" s="35">
        <v>33120</v>
      </c>
      <c r="Y38" s="35">
        <v>750</v>
      </c>
      <c r="Z38" s="35">
        <v>994</v>
      </c>
      <c r="AA38" s="35"/>
      <c r="AB38" s="35"/>
      <c r="AC38" s="35"/>
      <c r="AD38" s="35"/>
      <c r="AE38" s="35"/>
      <c r="AF38" s="35"/>
      <c r="AG38" s="35"/>
      <c r="AH38" s="35"/>
      <c r="AI38" s="35"/>
      <c r="AJ38" s="35">
        <f t="shared" si="0"/>
        <v>34864</v>
      </c>
      <c r="AK38" s="35">
        <v>33120</v>
      </c>
      <c r="AL38" s="35">
        <v>750</v>
      </c>
      <c r="AM38" s="35">
        <v>994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>
        <f t="shared" si="1"/>
        <v>34864</v>
      </c>
      <c r="AX38" s="35">
        <f t="shared" si="2"/>
        <v>104592</v>
      </c>
      <c r="AY38" s="35">
        <v>33120</v>
      </c>
      <c r="AZ38" s="35">
        <v>750</v>
      </c>
      <c r="BA38" s="35">
        <v>994</v>
      </c>
      <c r="BB38" s="35"/>
      <c r="BC38" s="35"/>
      <c r="BD38" s="35"/>
      <c r="BE38" s="35"/>
      <c r="BF38" s="35"/>
      <c r="BG38" s="35"/>
      <c r="BH38" s="35"/>
      <c r="BI38" s="35"/>
      <c r="BJ38" s="35"/>
      <c r="BK38" s="35">
        <f t="shared" si="5"/>
        <v>34864</v>
      </c>
      <c r="BL38" s="35">
        <v>33120</v>
      </c>
      <c r="BM38" s="35">
        <v>750</v>
      </c>
      <c r="BN38" s="35">
        <v>994</v>
      </c>
      <c r="BO38" s="35"/>
      <c r="BP38" s="35"/>
      <c r="BQ38" s="35"/>
      <c r="BR38" s="35"/>
      <c r="BS38" s="35"/>
      <c r="BT38" s="35"/>
      <c r="BU38" s="35"/>
      <c r="BV38" s="35"/>
      <c r="BW38" s="35"/>
      <c r="BX38" s="35">
        <f t="shared" si="6"/>
        <v>34864</v>
      </c>
      <c r="BY38" s="35">
        <v>33120</v>
      </c>
      <c r="BZ38" s="35">
        <v>750</v>
      </c>
      <c r="CA38" s="35">
        <v>994</v>
      </c>
      <c r="CB38" s="35"/>
      <c r="CC38" s="35"/>
      <c r="CD38" s="35"/>
      <c r="CE38" s="35"/>
      <c r="CF38" s="35"/>
      <c r="CG38" s="35"/>
      <c r="CH38" s="35"/>
      <c r="CI38" s="35"/>
      <c r="CJ38" s="35"/>
      <c r="CK38" s="35">
        <f t="shared" si="7"/>
        <v>34864</v>
      </c>
      <c r="CL38" s="35">
        <f t="shared" si="8"/>
        <v>104592</v>
      </c>
      <c r="CM38" s="35">
        <v>34780</v>
      </c>
      <c r="CN38" s="35">
        <v>750</v>
      </c>
      <c r="CO38" s="35">
        <v>1043</v>
      </c>
      <c r="CP38" s="35"/>
      <c r="CQ38" s="35"/>
      <c r="CR38" s="35"/>
      <c r="CS38" s="35"/>
      <c r="CT38" s="35"/>
      <c r="CU38" s="35"/>
      <c r="CV38" s="35"/>
      <c r="CW38" s="35"/>
      <c r="CX38" s="35"/>
      <c r="CY38" s="35">
        <f t="shared" si="9"/>
        <v>36573</v>
      </c>
      <c r="CZ38" s="35">
        <f>9960+34780</f>
        <v>44740</v>
      </c>
      <c r="DA38" s="35">
        <v>750</v>
      </c>
      <c r="DB38" s="35">
        <f>300+1043</f>
        <v>1343</v>
      </c>
      <c r="DC38" s="35"/>
      <c r="DD38" s="35"/>
      <c r="DE38" s="35"/>
      <c r="DF38" s="35"/>
      <c r="DG38" s="35"/>
      <c r="DH38" s="35"/>
      <c r="DI38" s="35"/>
      <c r="DJ38" s="35"/>
      <c r="DK38" s="35"/>
      <c r="DL38" s="35">
        <f t="shared" si="3"/>
        <v>46833</v>
      </c>
      <c r="DM38" s="35">
        <v>34780</v>
      </c>
      <c r="DN38" s="35">
        <v>750</v>
      </c>
      <c r="DO38" s="35">
        <v>1043</v>
      </c>
      <c r="DP38" s="35"/>
      <c r="DQ38" s="35"/>
      <c r="DR38" s="35"/>
      <c r="DS38" s="35"/>
      <c r="DT38" s="35"/>
      <c r="DU38" s="35"/>
      <c r="DV38" s="35"/>
      <c r="DW38" s="35"/>
      <c r="DX38" s="35"/>
      <c r="DY38" s="35">
        <f t="shared" si="10"/>
        <v>36573</v>
      </c>
      <c r="DZ38" s="35">
        <f t="shared" si="11"/>
        <v>119979</v>
      </c>
      <c r="EA38" s="35">
        <v>34780</v>
      </c>
      <c r="EB38" s="35">
        <v>750</v>
      </c>
      <c r="EC38" s="35">
        <v>1043</v>
      </c>
      <c r="ED38" s="35"/>
      <c r="EE38" s="35"/>
      <c r="EF38" s="35"/>
      <c r="EG38" s="35"/>
      <c r="EH38" s="35"/>
      <c r="EI38" s="35"/>
      <c r="EJ38" s="35"/>
      <c r="EK38" s="35"/>
      <c r="EL38" s="35"/>
      <c r="EM38" s="35">
        <f t="shared" si="12"/>
        <v>36573</v>
      </c>
      <c r="EN38" s="35">
        <v>34780</v>
      </c>
      <c r="EO38" s="35">
        <v>750</v>
      </c>
      <c r="EP38" s="35">
        <v>1043</v>
      </c>
      <c r="EQ38" s="35"/>
      <c r="ER38" s="35"/>
      <c r="ES38" s="35"/>
      <c r="ET38" s="35"/>
      <c r="EU38" s="35"/>
      <c r="EV38" s="35"/>
      <c r="EW38" s="35"/>
      <c r="EX38" s="35"/>
      <c r="EY38" s="35"/>
      <c r="EZ38" s="35">
        <f t="shared" si="4"/>
        <v>36573</v>
      </c>
      <c r="FA38" s="35">
        <v>34780</v>
      </c>
      <c r="FB38" s="35">
        <v>750</v>
      </c>
      <c r="FC38" s="35">
        <v>1043</v>
      </c>
      <c r="FD38" s="35"/>
      <c r="FE38" s="35"/>
      <c r="FF38" s="35"/>
      <c r="FG38" s="35"/>
      <c r="FH38" s="35"/>
      <c r="FI38" s="35"/>
      <c r="FJ38" s="35"/>
      <c r="FK38" s="35"/>
      <c r="FL38" s="35"/>
      <c r="FM38" s="35">
        <f t="shared" si="13"/>
        <v>36573</v>
      </c>
      <c r="FN38" s="35">
        <f t="shared" si="14"/>
        <v>109719</v>
      </c>
      <c r="FO38" s="35">
        <f t="shared" si="15"/>
        <v>438882</v>
      </c>
    </row>
    <row r="39" spans="1:171" x14ac:dyDescent="0.35">
      <c r="A39" s="34"/>
      <c r="B39" s="40"/>
      <c r="C39" s="58"/>
      <c r="D39" s="79" t="s">
        <v>145</v>
      </c>
      <c r="E39" s="58" t="s">
        <v>9</v>
      </c>
      <c r="F39" s="58" t="s">
        <v>17</v>
      </c>
      <c r="G39" s="58"/>
      <c r="H39" s="58"/>
      <c r="I39" s="58"/>
      <c r="J39" s="58"/>
      <c r="K39" s="35"/>
      <c r="L39" s="35"/>
      <c r="M39" s="35"/>
      <c r="N39" s="35">
        <v>24480</v>
      </c>
      <c r="O39" s="35">
        <v>750</v>
      </c>
      <c r="P39" s="35">
        <v>734</v>
      </c>
      <c r="Q39" s="35"/>
      <c r="R39" s="35"/>
      <c r="S39" s="35"/>
      <c r="T39" s="35"/>
      <c r="U39" s="35"/>
      <c r="V39" s="35"/>
      <c r="W39" s="35">
        <f t="shared" si="16"/>
        <v>25964</v>
      </c>
      <c r="X39" s="35"/>
      <c r="Y39" s="35"/>
      <c r="Z39" s="35"/>
      <c r="AA39" s="35">
        <v>24480</v>
      </c>
      <c r="AB39" s="35">
        <v>750</v>
      </c>
      <c r="AC39" s="35">
        <v>734</v>
      </c>
      <c r="AD39" s="35"/>
      <c r="AE39" s="35"/>
      <c r="AF39" s="35"/>
      <c r="AG39" s="35"/>
      <c r="AH39" s="35"/>
      <c r="AI39" s="35"/>
      <c r="AJ39" s="35">
        <f t="shared" si="0"/>
        <v>25964</v>
      </c>
      <c r="AK39" s="35"/>
      <c r="AL39" s="35"/>
      <c r="AM39" s="35"/>
      <c r="AN39" s="35">
        <v>24480</v>
      </c>
      <c r="AO39" s="35">
        <v>750</v>
      </c>
      <c r="AP39" s="35">
        <v>734</v>
      </c>
      <c r="AQ39" s="35"/>
      <c r="AR39" s="35"/>
      <c r="AS39" s="35"/>
      <c r="AT39" s="35"/>
      <c r="AU39" s="35"/>
      <c r="AV39" s="35"/>
      <c r="AW39" s="35">
        <f t="shared" si="1"/>
        <v>25964</v>
      </c>
      <c r="AX39" s="35">
        <f t="shared" si="2"/>
        <v>77892</v>
      </c>
      <c r="AY39" s="35"/>
      <c r="AZ39" s="35"/>
      <c r="BA39" s="35"/>
      <c r="BB39" s="35">
        <v>24480</v>
      </c>
      <c r="BC39" s="35">
        <v>750</v>
      </c>
      <c r="BD39" s="35">
        <v>734</v>
      </c>
      <c r="BE39" s="35"/>
      <c r="BF39" s="35"/>
      <c r="BG39" s="35"/>
      <c r="BH39" s="35"/>
      <c r="BI39" s="35"/>
      <c r="BJ39" s="35"/>
      <c r="BK39" s="35">
        <f t="shared" si="5"/>
        <v>25964</v>
      </c>
      <c r="BL39" s="35"/>
      <c r="BM39" s="35"/>
      <c r="BN39" s="35"/>
      <c r="BO39" s="35">
        <v>24480</v>
      </c>
      <c r="BP39" s="35">
        <v>750</v>
      </c>
      <c r="BQ39" s="35">
        <v>734</v>
      </c>
      <c r="BR39" s="35"/>
      <c r="BS39" s="35"/>
      <c r="BT39" s="35"/>
      <c r="BU39" s="35"/>
      <c r="BV39" s="35"/>
      <c r="BW39" s="35"/>
      <c r="BX39" s="35">
        <f t="shared" si="6"/>
        <v>25964</v>
      </c>
      <c r="BY39" s="35"/>
      <c r="BZ39" s="35"/>
      <c r="CA39" s="35"/>
      <c r="CB39" s="35">
        <v>24480</v>
      </c>
      <c r="CC39" s="35">
        <v>750</v>
      </c>
      <c r="CD39" s="35">
        <v>734</v>
      </c>
      <c r="CE39" s="35"/>
      <c r="CF39" s="35"/>
      <c r="CG39" s="35"/>
      <c r="CH39" s="35"/>
      <c r="CI39" s="35"/>
      <c r="CJ39" s="35"/>
      <c r="CK39" s="35">
        <f t="shared" si="7"/>
        <v>25964</v>
      </c>
      <c r="CL39" s="35">
        <f t="shared" si="8"/>
        <v>77892</v>
      </c>
      <c r="CM39" s="35"/>
      <c r="CN39" s="35"/>
      <c r="CO39" s="35"/>
      <c r="CP39" s="35">
        <v>25710</v>
      </c>
      <c r="CQ39" s="35">
        <v>750</v>
      </c>
      <c r="CR39" s="35">
        <v>771</v>
      </c>
      <c r="CS39" s="35"/>
      <c r="CT39" s="35"/>
      <c r="CU39" s="35"/>
      <c r="CV39" s="35"/>
      <c r="CW39" s="35"/>
      <c r="CX39" s="35"/>
      <c r="CY39" s="35">
        <f t="shared" si="9"/>
        <v>27231</v>
      </c>
      <c r="CZ39" s="35"/>
      <c r="DA39" s="35"/>
      <c r="DB39" s="35"/>
      <c r="DC39" s="35">
        <f>7380+25710</f>
        <v>33090</v>
      </c>
      <c r="DD39" s="35">
        <v>750</v>
      </c>
      <c r="DE39" s="35">
        <f>222+771</f>
        <v>993</v>
      </c>
      <c r="DF39" s="35"/>
      <c r="DG39" s="35"/>
      <c r="DH39" s="35"/>
      <c r="DI39" s="35"/>
      <c r="DJ39" s="35"/>
      <c r="DK39" s="35"/>
      <c r="DL39" s="35">
        <f t="shared" si="3"/>
        <v>34833</v>
      </c>
      <c r="DM39" s="35"/>
      <c r="DN39" s="35"/>
      <c r="DO39" s="35"/>
      <c r="DP39" s="35">
        <v>25710</v>
      </c>
      <c r="DQ39" s="35">
        <v>750</v>
      </c>
      <c r="DR39" s="35">
        <v>771</v>
      </c>
      <c r="DS39" s="35"/>
      <c r="DT39" s="35"/>
      <c r="DU39" s="35"/>
      <c r="DV39" s="35"/>
      <c r="DW39" s="35"/>
      <c r="DX39" s="35"/>
      <c r="DY39" s="35">
        <f t="shared" si="10"/>
        <v>27231</v>
      </c>
      <c r="DZ39" s="35">
        <f t="shared" si="11"/>
        <v>89295</v>
      </c>
      <c r="EA39" s="35"/>
      <c r="EB39" s="35"/>
      <c r="EC39" s="35"/>
      <c r="ED39" s="35">
        <v>25710</v>
      </c>
      <c r="EE39" s="35">
        <v>750</v>
      </c>
      <c r="EF39" s="35">
        <v>771</v>
      </c>
      <c r="EG39" s="35"/>
      <c r="EH39" s="35"/>
      <c r="EI39" s="35"/>
      <c r="EJ39" s="35"/>
      <c r="EK39" s="35"/>
      <c r="EL39" s="35"/>
      <c r="EM39" s="35">
        <f t="shared" si="12"/>
        <v>27231</v>
      </c>
      <c r="EN39" s="35"/>
      <c r="EO39" s="35"/>
      <c r="EP39" s="35"/>
      <c r="EQ39" s="35">
        <v>25710</v>
      </c>
      <c r="ER39" s="35">
        <v>750</v>
      </c>
      <c r="ES39" s="35">
        <v>771</v>
      </c>
      <c r="ET39" s="35"/>
      <c r="EU39" s="35"/>
      <c r="EV39" s="35"/>
      <c r="EW39" s="35"/>
      <c r="EX39" s="35"/>
      <c r="EY39" s="35"/>
      <c r="EZ39" s="35">
        <f t="shared" si="4"/>
        <v>27231</v>
      </c>
      <c r="FA39" s="35"/>
      <c r="FB39" s="35"/>
      <c r="FC39" s="35"/>
      <c r="FD39" s="35">
        <v>25710</v>
      </c>
      <c r="FE39" s="35">
        <v>750</v>
      </c>
      <c r="FF39" s="35">
        <v>771</v>
      </c>
      <c r="FG39" s="35"/>
      <c r="FH39" s="35"/>
      <c r="FI39" s="35"/>
      <c r="FJ39" s="35"/>
      <c r="FK39" s="35"/>
      <c r="FL39" s="35"/>
      <c r="FM39" s="35">
        <f t="shared" si="13"/>
        <v>27231</v>
      </c>
      <c r="FN39" s="35">
        <f t="shared" si="14"/>
        <v>81693</v>
      </c>
      <c r="FO39" s="35">
        <f t="shared" si="15"/>
        <v>326772</v>
      </c>
    </row>
    <row r="40" spans="1:171" x14ac:dyDescent="0.35">
      <c r="A40" s="34"/>
      <c r="B40" s="40"/>
      <c r="C40" s="58"/>
      <c r="D40" s="79" t="s">
        <v>146</v>
      </c>
      <c r="E40" s="58" t="s">
        <v>9</v>
      </c>
      <c r="F40" s="58" t="s">
        <v>17</v>
      </c>
      <c r="G40" s="58"/>
      <c r="H40" s="58"/>
      <c r="I40" s="58"/>
      <c r="J40" s="58"/>
      <c r="K40" s="35"/>
      <c r="L40" s="35"/>
      <c r="M40" s="35"/>
      <c r="N40" s="35">
        <v>23940</v>
      </c>
      <c r="O40" s="35">
        <v>750</v>
      </c>
      <c r="P40" s="35">
        <v>718</v>
      </c>
      <c r="Q40" s="35"/>
      <c r="R40" s="35"/>
      <c r="S40" s="35"/>
      <c r="T40" s="35"/>
      <c r="U40" s="35"/>
      <c r="V40" s="35"/>
      <c r="W40" s="35">
        <f t="shared" si="16"/>
        <v>25408</v>
      </c>
      <c r="X40" s="35"/>
      <c r="Y40" s="35"/>
      <c r="Z40" s="35"/>
      <c r="AA40" s="35">
        <v>23940</v>
      </c>
      <c r="AB40" s="35">
        <v>750</v>
      </c>
      <c r="AC40" s="35">
        <v>718</v>
      </c>
      <c r="AD40" s="35"/>
      <c r="AE40" s="35"/>
      <c r="AF40" s="35"/>
      <c r="AG40" s="35"/>
      <c r="AH40" s="35"/>
      <c r="AI40" s="35"/>
      <c r="AJ40" s="35">
        <f t="shared" si="0"/>
        <v>25408</v>
      </c>
      <c r="AK40" s="35"/>
      <c r="AL40" s="35"/>
      <c r="AM40" s="35"/>
      <c r="AN40" s="35">
        <v>23940</v>
      </c>
      <c r="AO40" s="35">
        <v>750</v>
      </c>
      <c r="AP40" s="35">
        <v>718</v>
      </c>
      <c r="AQ40" s="35"/>
      <c r="AR40" s="35"/>
      <c r="AS40" s="35"/>
      <c r="AT40" s="35"/>
      <c r="AU40" s="35"/>
      <c r="AV40" s="35"/>
      <c r="AW40" s="35">
        <f t="shared" si="1"/>
        <v>25408</v>
      </c>
      <c r="AX40" s="35">
        <f t="shared" si="2"/>
        <v>76224</v>
      </c>
      <c r="AY40" s="35"/>
      <c r="AZ40" s="35"/>
      <c r="BA40" s="35"/>
      <c r="BB40" s="35">
        <v>23940</v>
      </c>
      <c r="BC40" s="35">
        <v>750</v>
      </c>
      <c r="BD40" s="35">
        <v>0</v>
      </c>
      <c r="BE40" s="35"/>
      <c r="BF40" s="35"/>
      <c r="BG40" s="35"/>
      <c r="BH40" s="35"/>
      <c r="BI40" s="35"/>
      <c r="BJ40" s="35"/>
      <c r="BK40" s="35">
        <f t="shared" si="5"/>
        <v>24690</v>
      </c>
      <c r="BL40" s="35"/>
      <c r="BM40" s="35"/>
      <c r="BN40" s="35"/>
      <c r="BO40" s="35">
        <v>23940</v>
      </c>
      <c r="BP40" s="35">
        <v>750</v>
      </c>
      <c r="BQ40" s="35">
        <v>0</v>
      </c>
      <c r="BR40" s="35"/>
      <c r="BS40" s="35"/>
      <c r="BT40" s="35"/>
      <c r="BU40" s="35"/>
      <c r="BV40" s="35"/>
      <c r="BW40" s="35"/>
      <c r="BX40" s="35">
        <f t="shared" si="6"/>
        <v>24690</v>
      </c>
      <c r="BY40" s="35"/>
      <c r="BZ40" s="35"/>
      <c r="CA40" s="35"/>
      <c r="CB40" s="35">
        <v>23940</v>
      </c>
      <c r="CC40" s="35">
        <v>750</v>
      </c>
      <c r="CD40" s="35">
        <v>0</v>
      </c>
      <c r="CE40" s="35"/>
      <c r="CF40" s="35"/>
      <c r="CG40" s="35"/>
      <c r="CH40" s="35"/>
      <c r="CI40" s="35"/>
      <c r="CJ40" s="35"/>
      <c r="CK40" s="35">
        <f t="shared" si="7"/>
        <v>24690</v>
      </c>
      <c r="CL40" s="35">
        <f t="shared" si="8"/>
        <v>74070</v>
      </c>
      <c r="CM40" s="35"/>
      <c r="CN40" s="35"/>
      <c r="CO40" s="35"/>
      <c r="CP40" s="35">
        <v>25120</v>
      </c>
      <c r="CQ40" s="35">
        <v>750</v>
      </c>
      <c r="CR40" s="35">
        <v>0</v>
      </c>
      <c r="CS40" s="35"/>
      <c r="CT40" s="35"/>
      <c r="CU40" s="35"/>
      <c r="CV40" s="35"/>
      <c r="CW40" s="35"/>
      <c r="CX40" s="35"/>
      <c r="CY40" s="35">
        <f t="shared" si="9"/>
        <v>25870</v>
      </c>
      <c r="CZ40" s="35"/>
      <c r="DA40" s="35"/>
      <c r="DB40" s="35"/>
      <c r="DC40" s="35">
        <f>7080+25120</f>
        <v>32200</v>
      </c>
      <c r="DD40" s="35">
        <v>750</v>
      </c>
      <c r="DE40" s="35">
        <v>0</v>
      </c>
      <c r="DF40" s="35"/>
      <c r="DG40" s="35"/>
      <c r="DH40" s="35"/>
      <c r="DI40" s="35"/>
      <c r="DJ40" s="35"/>
      <c r="DK40" s="35"/>
      <c r="DL40" s="35">
        <f t="shared" si="3"/>
        <v>32950</v>
      </c>
      <c r="DM40" s="35"/>
      <c r="DN40" s="35"/>
      <c r="DO40" s="35"/>
      <c r="DP40" s="35">
        <v>25120</v>
      </c>
      <c r="DQ40" s="35">
        <v>750</v>
      </c>
      <c r="DR40" s="35">
        <v>0</v>
      </c>
      <c r="DS40" s="35"/>
      <c r="DT40" s="35"/>
      <c r="DU40" s="35"/>
      <c r="DV40" s="35"/>
      <c r="DW40" s="35"/>
      <c r="DX40" s="35"/>
      <c r="DY40" s="35">
        <f t="shared" si="10"/>
        <v>25870</v>
      </c>
      <c r="DZ40" s="35">
        <f t="shared" si="11"/>
        <v>84690</v>
      </c>
      <c r="EA40" s="35"/>
      <c r="EB40" s="35"/>
      <c r="EC40" s="35"/>
      <c r="ED40" s="35">
        <v>25120</v>
      </c>
      <c r="EE40" s="35">
        <v>750</v>
      </c>
      <c r="EF40" s="35">
        <v>0</v>
      </c>
      <c r="EG40" s="35"/>
      <c r="EH40" s="35"/>
      <c r="EI40" s="35"/>
      <c r="EJ40" s="35"/>
      <c r="EK40" s="35"/>
      <c r="EL40" s="35"/>
      <c r="EM40" s="35">
        <f t="shared" si="12"/>
        <v>25870</v>
      </c>
      <c r="EN40" s="35"/>
      <c r="EO40" s="35"/>
      <c r="EP40" s="35"/>
      <c r="EQ40" s="35">
        <v>25120</v>
      </c>
      <c r="ER40" s="35">
        <v>750</v>
      </c>
      <c r="ES40" s="35">
        <v>0</v>
      </c>
      <c r="ET40" s="35"/>
      <c r="EU40" s="35"/>
      <c r="EV40" s="35"/>
      <c r="EW40" s="35"/>
      <c r="EX40" s="35"/>
      <c r="EY40" s="35"/>
      <c r="EZ40" s="35">
        <f t="shared" si="4"/>
        <v>25870</v>
      </c>
      <c r="FA40" s="35"/>
      <c r="FB40" s="35"/>
      <c r="FC40" s="35"/>
      <c r="FD40" s="35">
        <v>25120</v>
      </c>
      <c r="FE40" s="35">
        <v>750</v>
      </c>
      <c r="FF40" s="35">
        <v>0</v>
      </c>
      <c r="FG40" s="35"/>
      <c r="FH40" s="35"/>
      <c r="FI40" s="35"/>
      <c r="FJ40" s="35"/>
      <c r="FK40" s="35"/>
      <c r="FL40" s="35"/>
      <c r="FM40" s="35">
        <f t="shared" si="13"/>
        <v>25870</v>
      </c>
      <c r="FN40" s="35">
        <f t="shared" si="14"/>
        <v>77610</v>
      </c>
      <c r="FO40" s="35">
        <f t="shared" si="15"/>
        <v>312594</v>
      </c>
    </row>
    <row r="41" spans="1:171" x14ac:dyDescent="0.35">
      <c r="A41" s="34"/>
      <c r="B41" s="40"/>
      <c r="C41" s="58"/>
      <c r="D41" s="79" t="s">
        <v>147</v>
      </c>
      <c r="E41" s="58" t="s">
        <v>9</v>
      </c>
      <c r="F41" s="58" t="s">
        <v>17</v>
      </c>
      <c r="G41" s="58"/>
      <c r="H41" s="58"/>
      <c r="I41" s="58"/>
      <c r="J41" s="58"/>
      <c r="K41" s="35"/>
      <c r="L41" s="35"/>
      <c r="M41" s="35"/>
      <c r="N41" s="35">
        <v>23890</v>
      </c>
      <c r="O41" s="35">
        <v>750</v>
      </c>
      <c r="P41" s="35">
        <v>717</v>
      </c>
      <c r="Q41" s="35"/>
      <c r="R41" s="35"/>
      <c r="S41" s="35"/>
      <c r="T41" s="35"/>
      <c r="U41" s="35"/>
      <c r="V41" s="35"/>
      <c r="W41" s="35">
        <f t="shared" si="16"/>
        <v>25357</v>
      </c>
      <c r="X41" s="35"/>
      <c r="Y41" s="35"/>
      <c r="Z41" s="35"/>
      <c r="AA41" s="35">
        <v>23890</v>
      </c>
      <c r="AB41" s="35">
        <v>750</v>
      </c>
      <c r="AC41" s="35">
        <v>717</v>
      </c>
      <c r="AD41" s="35"/>
      <c r="AE41" s="35"/>
      <c r="AF41" s="35"/>
      <c r="AG41" s="35"/>
      <c r="AH41" s="35"/>
      <c r="AI41" s="35"/>
      <c r="AJ41" s="35">
        <f t="shared" ref="AJ41:AJ79" si="56">SUM(X41:AI41)</f>
        <v>25357</v>
      </c>
      <c r="AK41" s="35"/>
      <c r="AL41" s="35"/>
      <c r="AM41" s="35"/>
      <c r="AN41" s="35">
        <v>23890</v>
      </c>
      <c r="AO41" s="35">
        <v>750</v>
      </c>
      <c r="AP41" s="35">
        <v>717</v>
      </c>
      <c r="AQ41" s="35"/>
      <c r="AR41" s="35"/>
      <c r="AS41" s="35"/>
      <c r="AT41" s="35"/>
      <c r="AU41" s="35"/>
      <c r="AV41" s="35"/>
      <c r="AW41" s="35">
        <f t="shared" si="1"/>
        <v>25357</v>
      </c>
      <c r="AX41" s="35">
        <f t="shared" si="2"/>
        <v>76071</v>
      </c>
      <c r="AY41" s="35"/>
      <c r="AZ41" s="35"/>
      <c r="BA41" s="35"/>
      <c r="BB41" s="35">
        <v>23890</v>
      </c>
      <c r="BC41" s="35">
        <v>750</v>
      </c>
      <c r="BD41" s="35">
        <v>717</v>
      </c>
      <c r="BE41" s="35"/>
      <c r="BF41" s="35"/>
      <c r="BG41" s="35"/>
      <c r="BH41" s="35"/>
      <c r="BI41" s="35"/>
      <c r="BJ41" s="35"/>
      <c r="BK41" s="35">
        <f t="shared" si="5"/>
        <v>25357</v>
      </c>
      <c r="BL41" s="35"/>
      <c r="BM41" s="35"/>
      <c r="BN41" s="35"/>
      <c r="BO41" s="35">
        <v>23890</v>
      </c>
      <c r="BP41" s="35">
        <v>750</v>
      </c>
      <c r="BQ41" s="35">
        <v>717</v>
      </c>
      <c r="BR41" s="35"/>
      <c r="BS41" s="35"/>
      <c r="BT41" s="35"/>
      <c r="BU41" s="35"/>
      <c r="BV41" s="35"/>
      <c r="BW41" s="35"/>
      <c r="BX41" s="35">
        <f t="shared" si="6"/>
        <v>25357</v>
      </c>
      <c r="BY41" s="35"/>
      <c r="BZ41" s="35"/>
      <c r="CA41" s="35"/>
      <c r="CB41" s="35">
        <v>23890</v>
      </c>
      <c r="CC41" s="35">
        <v>750</v>
      </c>
      <c r="CD41" s="35">
        <v>717</v>
      </c>
      <c r="CE41" s="35"/>
      <c r="CF41" s="35"/>
      <c r="CG41" s="35"/>
      <c r="CH41" s="35"/>
      <c r="CI41" s="35"/>
      <c r="CJ41" s="35"/>
      <c r="CK41" s="35">
        <f t="shared" si="7"/>
        <v>25357</v>
      </c>
      <c r="CL41" s="35">
        <f t="shared" si="8"/>
        <v>76071</v>
      </c>
      <c r="CM41" s="35"/>
      <c r="CN41" s="35"/>
      <c r="CO41" s="35"/>
      <c r="CP41" s="35">
        <v>25090</v>
      </c>
      <c r="CQ41" s="35">
        <v>750</v>
      </c>
      <c r="CR41" s="35">
        <v>753</v>
      </c>
      <c r="CS41" s="35"/>
      <c r="CT41" s="35"/>
      <c r="CU41" s="35"/>
      <c r="CV41" s="35"/>
      <c r="CW41" s="35"/>
      <c r="CX41" s="35"/>
      <c r="CY41" s="35">
        <f t="shared" si="9"/>
        <v>26593</v>
      </c>
      <c r="CZ41" s="35"/>
      <c r="DA41" s="35"/>
      <c r="DB41" s="35"/>
      <c r="DC41" s="35">
        <f>7200+25090</f>
        <v>32290</v>
      </c>
      <c r="DD41" s="35">
        <v>750</v>
      </c>
      <c r="DE41" s="35">
        <f>216+753</f>
        <v>969</v>
      </c>
      <c r="DF41" s="35"/>
      <c r="DG41" s="35"/>
      <c r="DH41" s="35"/>
      <c r="DI41" s="35"/>
      <c r="DJ41" s="35"/>
      <c r="DK41" s="35"/>
      <c r="DL41" s="35">
        <f t="shared" si="3"/>
        <v>34009</v>
      </c>
      <c r="DM41" s="35"/>
      <c r="DN41" s="35"/>
      <c r="DO41" s="35"/>
      <c r="DP41" s="35">
        <v>25090</v>
      </c>
      <c r="DQ41" s="35">
        <v>750</v>
      </c>
      <c r="DR41" s="35">
        <v>753</v>
      </c>
      <c r="DS41" s="35"/>
      <c r="DT41" s="35"/>
      <c r="DU41" s="35"/>
      <c r="DV41" s="35"/>
      <c r="DW41" s="35"/>
      <c r="DX41" s="35"/>
      <c r="DY41" s="35">
        <f t="shared" si="10"/>
        <v>26593</v>
      </c>
      <c r="DZ41" s="35">
        <f t="shared" si="11"/>
        <v>87195</v>
      </c>
      <c r="EA41" s="35"/>
      <c r="EB41" s="35"/>
      <c r="EC41" s="35"/>
      <c r="ED41" s="35">
        <v>25090</v>
      </c>
      <c r="EE41" s="35">
        <v>750</v>
      </c>
      <c r="EF41" s="35">
        <v>753</v>
      </c>
      <c r="EG41" s="35"/>
      <c r="EH41" s="35"/>
      <c r="EI41" s="35"/>
      <c r="EJ41" s="35"/>
      <c r="EK41" s="35"/>
      <c r="EL41" s="35"/>
      <c r="EM41" s="35">
        <f t="shared" si="12"/>
        <v>26593</v>
      </c>
      <c r="EN41" s="35"/>
      <c r="EO41" s="35"/>
      <c r="EP41" s="35"/>
      <c r="EQ41" s="35">
        <v>25090</v>
      </c>
      <c r="ER41" s="35">
        <v>750</v>
      </c>
      <c r="ES41" s="35">
        <v>753</v>
      </c>
      <c r="ET41" s="35"/>
      <c r="EU41" s="35"/>
      <c r="EV41" s="35"/>
      <c r="EW41" s="35"/>
      <c r="EX41" s="35"/>
      <c r="EY41" s="35"/>
      <c r="EZ41" s="35">
        <f t="shared" si="4"/>
        <v>26593</v>
      </c>
      <c r="FA41" s="35"/>
      <c r="FB41" s="35"/>
      <c r="FC41" s="35"/>
      <c r="FD41" s="35">
        <v>25090</v>
      </c>
      <c r="FE41" s="35">
        <v>750</v>
      </c>
      <c r="FF41" s="35">
        <v>753</v>
      </c>
      <c r="FG41" s="35"/>
      <c r="FH41" s="35"/>
      <c r="FI41" s="35"/>
      <c r="FJ41" s="35"/>
      <c r="FK41" s="35"/>
      <c r="FL41" s="35"/>
      <c r="FM41" s="35">
        <f t="shared" si="13"/>
        <v>26593</v>
      </c>
      <c r="FN41" s="35">
        <f t="shared" si="14"/>
        <v>79779</v>
      </c>
      <c r="FO41" s="35">
        <f t="shared" si="15"/>
        <v>319116</v>
      </c>
    </row>
    <row r="42" spans="1:171" x14ac:dyDescent="0.35">
      <c r="A42" s="34"/>
      <c r="B42" s="40"/>
      <c r="C42" s="58"/>
      <c r="D42" s="79" t="s">
        <v>148</v>
      </c>
      <c r="E42" s="40" t="s">
        <v>8</v>
      </c>
      <c r="F42" s="58" t="s">
        <v>17</v>
      </c>
      <c r="G42" s="58"/>
      <c r="H42" s="58"/>
      <c r="I42" s="58"/>
      <c r="J42" s="58"/>
      <c r="K42" s="35">
        <v>32890</v>
      </c>
      <c r="L42" s="35">
        <v>750</v>
      </c>
      <c r="M42" s="35">
        <v>0</v>
      </c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6"/>
        <v>33640</v>
      </c>
      <c r="X42" s="35">
        <v>32890</v>
      </c>
      <c r="Y42" s="35">
        <v>750</v>
      </c>
      <c r="Z42" s="35">
        <v>0</v>
      </c>
      <c r="AA42" s="35"/>
      <c r="AB42" s="35"/>
      <c r="AC42" s="35"/>
      <c r="AD42" s="35"/>
      <c r="AE42" s="35"/>
      <c r="AF42" s="35"/>
      <c r="AG42" s="35"/>
      <c r="AH42" s="35"/>
      <c r="AI42" s="35"/>
      <c r="AJ42" s="35">
        <f t="shared" si="56"/>
        <v>33640</v>
      </c>
      <c r="AK42" s="35">
        <v>32890</v>
      </c>
      <c r="AL42" s="35">
        <v>750</v>
      </c>
      <c r="AM42" s="35">
        <v>0</v>
      </c>
      <c r="AN42" s="35"/>
      <c r="AO42" s="35"/>
      <c r="AP42" s="35"/>
      <c r="AQ42" s="35"/>
      <c r="AR42" s="35"/>
      <c r="AS42" s="35"/>
      <c r="AT42" s="35"/>
      <c r="AU42" s="35"/>
      <c r="AV42" s="35"/>
      <c r="AW42" s="35">
        <f t="shared" si="1"/>
        <v>33640</v>
      </c>
      <c r="AX42" s="35">
        <f t="shared" si="2"/>
        <v>100920</v>
      </c>
      <c r="AY42" s="35">
        <v>32890</v>
      </c>
      <c r="AZ42" s="35">
        <v>750</v>
      </c>
      <c r="BA42" s="35">
        <v>0</v>
      </c>
      <c r="BB42" s="35"/>
      <c r="BC42" s="35"/>
      <c r="BD42" s="35"/>
      <c r="BE42" s="35"/>
      <c r="BF42" s="35"/>
      <c r="BG42" s="35"/>
      <c r="BH42" s="35"/>
      <c r="BI42" s="35"/>
      <c r="BJ42" s="35"/>
      <c r="BK42" s="35">
        <f t="shared" si="5"/>
        <v>33640</v>
      </c>
      <c r="BL42" s="35">
        <v>32890</v>
      </c>
      <c r="BM42" s="35">
        <v>750</v>
      </c>
      <c r="BN42" s="35">
        <v>0</v>
      </c>
      <c r="BO42" s="35"/>
      <c r="BP42" s="35"/>
      <c r="BQ42" s="35"/>
      <c r="BR42" s="35"/>
      <c r="BS42" s="35"/>
      <c r="BT42" s="35"/>
      <c r="BU42" s="35"/>
      <c r="BV42" s="35"/>
      <c r="BW42" s="35"/>
      <c r="BX42" s="35">
        <f t="shared" si="6"/>
        <v>33640</v>
      </c>
      <c r="BY42" s="35">
        <v>32890</v>
      </c>
      <c r="BZ42" s="35">
        <v>750</v>
      </c>
      <c r="CA42" s="35">
        <v>0</v>
      </c>
      <c r="CB42" s="35"/>
      <c r="CC42" s="35"/>
      <c r="CD42" s="35"/>
      <c r="CE42" s="35"/>
      <c r="CF42" s="35"/>
      <c r="CG42" s="35"/>
      <c r="CH42" s="35"/>
      <c r="CI42" s="35"/>
      <c r="CJ42" s="35"/>
      <c r="CK42" s="35">
        <f t="shared" si="7"/>
        <v>33640</v>
      </c>
      <c r="CL42" s="35">
        <f t="shared" si="8"/>
        <v>100920</v>
      </c>
      <c r="CM42" s="35">
        <v>34540</v>
      </c>
      <c r="CN42" s="35">
        <v>750</v>
      </c>
      <c r="CO42" s="35">
        <v>0</v>
      </c>
      <c r="CP42" s="35"/>
      <c r="CQ42" s="35"/>
      <c r="CR42" s="35"/>
      <c r="CS42" s="35"/>
      <c r="CT42" s="35"/>
      <c r="CU42" s="35"/>
      <c r="CV42" s="35"/>
      <c r="CW42" s="35"/>
      <c r="CX42" s="35"/>
      <c r="CY42" s="35">
        <f t="shared" si="9"/>
        <v>35290</v>
      </c>
      <c r="CZ42" s="35">
        <f>9900+34540</f>
        <v>44440</v>
      </c>
      <c r="DA42" s="35">
        <v>750</v>
      </c>
      <c r="DB42" s="35">
        <v>0</v>
      </c>
      <c r="DC42" s="35"/>
      <c r="DD42" s="35"/>
      <c r="DE42" s="35"/>
      <c r="DF42" s="35"/>
      <c r="DG42" s="35"/>
      <c r="DH42" s="35"/>
      <c r="DI42" s="35"/>
      <c r="DJ42" s="35"/>
      <c r="DK42" s="35"/>
      <c r="DL42" s="35">
        <f t="shared" si="3"/>
        <v>45190</v>
      </c>
      <c r="DM42" s="35">
        <v>34540</v>
      </c>
      <c r="DN42" s="35">
        <v>750</v>
      </c>
      <c r="DO42" s="35">
        <v>0</v>
      </c>
      <c r="DP42" s="35"/>
      <c r="DQ42" s="35"/>
      <c r="DR42" s="35"/>
      <c r="DS42" s="35"/>
      <c r="DT42" s="35"/>
      <c r="DU42" s="35"/>
      <c r="DV42" s="35"/>
      <c r="DW42" s="35"/>
      <c r="DX42" s="35"/>
      <c r="DY42" s="35">
        <f t="shared" si="10"/>
        <v>35290</v>
      </c>
      <c r="DZ42" s="35">
        <f t="shared" si="11"/>
        <v>115770</v>
      </c>
      <c r="EA42" s="35">
        <v>34540</v>
      </c>
      <c r="EB42" s="35">
        <v>750</v>
      </c>
      <c r="EC42" s="35">
        <v>0</v>
      </c>
      <c r="ED42" s="35"/>
      <c r="EE42" s="35"/>
      <c r="EF42" s="35"/>
      <c r="EG42" s="35"/>
      <c r="EH42" s="35"/>
      <c r="EI42" s="35"/>
      <c r="EJ42" s="35"/>
      <c r="EK42" s="35"/>
      <c r="EL42" s="35"/>
      <c r="EM42" s="35">
        <f t="shared" si="12"/>
        <v>35290</v>
      </c>
      <c r="EN42" s="35">
        <v>34540</v>
      </c>
      <c r="EO42" s="35">
        <v>750</v>
      </c>
      <c r="EP42" s="35">
        <v>0</v>
      </c>
      <c r="EQ42" s="35"/>
      <c r="ER42" s="35"/>
      <c r="ES42" s="35"/>
      <c r="ET42" s="35"/>
      <c r="EU42" s="35"/>
      <c r="EV42" s="35"/>
      <c r="EW42" s="35"/>
      <c r="EX42" s="35"/>
      <c r="EY42" s="35"/>
      <c r="EZ42" s="35">
        <f t="shared" si="4"/>
        <v>35290</v>
      </c>
      <c r="FA42" s="35">
        <v>34540</v>
      </c>
      <c r="FB42" s="35">
        <v>750</v>
      </c>
      <c r="FC42" s="35">
        <v>0</v>
      </c>
      <c r="FD42" s="35"/>
      <c r="FE42" s="35"/>
      <c r="FF42" s="35"/>
      <c r="FG42" s="35"/>
      <c r="FH42" s="35"/>
      <c r="FI42" s="35"/>
      <c r="FJ42" s="35"/>
      <c r="FK42" s="35"/>
      <c r="FL42" s="35"/>
      <c r="FM42" s="35">
        <f t="shared" si="13"/>
        <v>35290</v>
      </c>
      <c r="FN42" s="35">
        <f t="shared" si="14"/>
        <v>105870</v>
      </c>
      <c r="FO42" s="35">
        <f t="shared" si="15"/>
        <v>423480</v>
      </c>
    </row>
    <row r="43" spans="1:171" x14ac:dyDescent="0.35">
      <c r="A43" s="34"/>
      <c r="B43" s="40"/>
      <c r="C43" s="58"/>
      <c r="D43" s="79" t="s">
        <v>149</v>
      </c>
      <c r="E43" s="40" t="s">
        <v>8</v>
      </c>
      <c r="F43" s="58" t="s">
        <v>17</v>
      </c>
      <c r="G43" s="58"/>
      <c r="H43" s="58"/>
      <c r="I43" s="58"/>
      <c r="J43" s="58"/>
      <c r="K43" s="35">
        <v>31210</v>
      </c>
      <c r="L43" s="35">
        <v>750</v>
      </c>
      <c r="M43" s="35">
        <v>936</v>
      </c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6"/>
        <v>32896</v>
      </c>
      <c r="X43" s="35">
        <v>31210</v>
      </c>
      <c r="Y43" s="35">
        <v>750</v>
      </c>
      <c r="Z43" s="35">
        <v>936</v>
      </c>
      <c r="AA43" s="35"/>
      <c r="AB43" s="35"/>
      <c r="AC43" s="35"/>
      <c r="AD43" s="35"/>
      <c r="AE43" s="35"/>
      <c r="AF43" s="35"/>
      <c r="AG43" s="35"/>
      <c r="AH43" s="35"/>
      <c r="AI43" s="35"/>
      <c r="AJ43" s="35">
        <f t="shared" si="56"/>
        <v>32896</v>
      </c>
      <c r="AK43" s="35">
        <v>31210</v>
      </c>
      <c r="AL43" s="35">
        <v>750</v>
      </c>
      <c r="AM43" s="35">
        <v>936</v>
      </c>
      <c r="AN43" s="35"/>
      <c r="AO43" s="35"/>
      <c r="AP43" s="35"/>
      <c r="AQ43" s="35"/>
      <c r="AR43" s="35"/>
      <c r="AS43" s="35"/>
      <c r="AT43" s="35"/>
      <c r="AU43" s="35"/>
      <c r="AV43" s="35"/>
      <c r="AW43" s="35">
        <f t="shared" si="1"/>
        <v>32896</v>
      </c>
      <c r="AX43" s="35">
        <f t="shared" si="2"/>
        <v>98688</v>
      </c>
      <c r="AY43" s="35">
        <v>31210</v>
      </c>
      <c r="AZ43" s="35">
        <v>750</v>
      </c>
      <c r="BA43" s="35">
        <v>936</v>
      </c>
      <c r="BB43" s="35"/>
      <c r="BC43" s="35"/>
      <c r="BD43" s="35"/>
      <c r="BE43" s="35"/>
      <c r="BF43" s="35"/>
      <c r="BG43" s="35"/>
      <c r="BH43" s="35"/>
      <c r="BI43" s="35"/>
      <c r="BJ43" s="35"/>
      <c r="BK43" s="35">
        <f t="shared" si="5"/>
        <v>32896</v>
      </c>
      <c r="BL43" s="35">
        <v>31210</v>
      </c>
      <c r="BM43" s="35">
        <v>750</v>
      </c>
      <c r="BN43" s="35">
        <v>936</v>
      </c>
      <c r="BO43" s="35"/>
      <c r="BP43" s="35"/>
      <c r="BQ43" s="35"/>
      <c r="BR43" s="35"/>
      <c r="BS43" s="35"/>
      <c r="BT43" s="35"/>
      <c r="BU43" s="35"/>
      <c r="BV43" s="35"/>
      <c r="BW43" s="35"/>
      <c r="BX43" s="35">
        <f t="shared" si="6"/>
        <v>32896</v>
      </c>
      <c r="BY43" s="35">
        <v>31210</v>
      </c>
      <c r="BZ43" s="35">
        <v>750</v>
      </c>
      <c r="CA43" s="35">
        <v>936</v>
      </c>
      <c r="CB43" s="35"/>
      <c r="CC43" s="35"/>
      <c r="CD43" s="35"/>
      <c r="CE43" s="35"/>
      <c r="CF43" s="35"/>
      <c r="CG43" s="35"/>
      <c r="CH43" s="35"/>
      <c r="CI43" s="35"/>
      <c r="CJ43" s="35"/>
      <c r="CK43" s="35">
        <f t="shared" si="7"/>
        <v>32896</v>
      </c>
      <c r="CL43" s="35">
        <f t="shared" si="8"/>
        <v>98688</v>
      </c>
      <c r="CM43" s="35">
        <v>31210</v>
      </c>
      <c r="CN43" s="35">
        <v>750</v>
      </c>
      <c r="CO43" s="35">
        <v>936</v>
      </c>
      <c r="CP43" s="35"/>
      <c r="CQ43" s="35"/>
      <c r="CR43" s="35"/>
      <c r="CS43" s="35"/>
      <c r="CT43" s="35"/>
      <c r="CU43" s="35"/>
      <c r="CV43" s="35"/>
      <c r="CW43" s="35"/>
      <c r="CX43" s="35"/>
      <c r="CY43" s="35">
        <f t="shared" si="9"/>
        <v>32896</v>
      </c>
      <c r="CZ43" s="35">
        <v>31210</v>
      </c>
      <c r="DA43" s="35">
        <v>750</v>
      </c>
      <c r="DB43" s="35">
        <v>936</v>
      </c>
      <c r="DC43" s="35"/>
      <c r="DD43" s="35"/>
      <c r="DE43" s="35"/>
      <c r="DF43" s="35"/>
      <c r="DG43" s="35"/>
      <c r="DH43" s="35"/>
      <c r="DI43" s="35"/>
      <c r="DJ43" s="35"/>
      <c r="DK43" s="35"/>
      <c r="DL43" s="35">
        <f t="shared" si="3"/>
        <v>32896</v>
      </c>
      <c r="DM43" s="35">
        <v>31210</v>
      </c>
      <c r="DN43" s="35">
        <v>750</v>
      </c>
      <c r="DO43" s="35">
        <v>936</v>
      </c>
      <c r="DP43" s="35"/>
      <c r="DQ43" s="35"/>
      <c r="DR43" s="35"/>
      <c r="DS43" s="35"/>
      <c r="DT43" s="35"/>
      <c r="DU43" s="35"/>
      <c r="DV43" s="35"/>
      <c r="DW43" s="35"/>
      <c r="DX43" s="35"/>
      <c r="DY43" s="35">
        <f t="shared" si="10"/>
        <v>32896</v>
      </c>
      <c r="DZ43" s="35">
        <f t="shared" si="11"/>
        <v>98688</v>
      </c>
      <c r="EA43" s="35">
        <v>31210</v>
      </c>
      <c r="EB43" s="35">
        <v>750</v>
      </c>
      <c r="EC43" s="35">
        <v>936</v>
      </c>
      <c r="ED43" s="35"/>
      <c r="EE43" s="35"/>
      <c r="EF43" s="35"/>
      <c r="EG43" s="35"/>
      <c r="EH43" s="35"/>
      <c r="EI43" s="35"/>
      <c r="EJ43" s="35"/>
      <c r="EK43" s="35"/>
      <c r="EL43" s="35"/>
      <c r="EM43" s="35">
        <f t="shared" si="12"/>
        <v>32896</v>
      </c>
      <c r="EN43" s="35">
        <v>31210</v>
      </c>
      <c r="EO43" s="35">
        <v>750</v>
      </c>
      <c r="EP43" s="35">
        <v>936</v>
      </c>
      <c r="EQ43" s="35"/>
      <c r="ER43" s="35"/>
      <c r="ES43" s="35"/>
      <c r="ET43" s="35"/>
      <c r="EU43" s="35"/>
      <c r="EV43" s="35"/>
      <c r="EW43" s="35"/>
      <c r="EX43" s="35"/>
      <c r="EY43" s="35"/>
      <c r="EZ43" s="35">
        <f t="shared" si="4"/>
        <v>32896</v>
      </c>
      <c r="FA43" s="35">
        <v>31210</v>
      </c>
      <c r="FB43" s="35">
        <v>750</v>
      </c>
      <c r="FC43" s="35">
        <v>936</v>
      </c>
      <c r="FD43" s="35"/>
      <c r="FE43" s="35"/>
      <c r="FF43" s="35"/>
      <c r="FG43" s="35"/>
      <c r="FH43" s="35"/>
      <c r="FI43" s="35"/>
      <c r="FJ43" s="35"/>
      <c r="FK43" s="35"/>
      <c r="FL43" s="35"/>
      <c r="FM43" s="35">
        <f t="shared" si="13"/>
        <v>32896</v>
      </c>
      <c r="FN43" s="35">
        <f t="shared" si="14"/>
        <v>98688</v>
      </c>
      <c r="FO43" s="35">
        <f t="shared" si="15"/>
        <v>394752</v>
      </c>
    </row>
    <row r="44" spans="1:171" x14ac:dyDescent="0.35">
      <c r="A44" s="34"/>
      <c r="B44" s="40"/>
      <c r="C44" s="58"/>
      <c r="D44" s="79" t="s">
        <v>150</v>
      </c>
      <c r="E44" s="40" t="s">
        <v>8</v>
      </c>
      <c r="F44" s="58" t="s">
        <v>17</v>
      </c>
      <c r="G44" s="58"/>
      <c r="H44" s="58"/>
      <c r="I44" s="58"/>
      <c r="J44" s="58"/>
      <c r="K44" s="35">
        <v>32600</v>
      </c>
      <c r="L44" s="35">
        <v>750</v>
      </c>
      <c r="M44" s="35">
        <v>0</v>
      </c>
      <c r="N44" s="35"/>
      <c r="O44" s="35"/>
      <c r="P44" s="35"/>
      <c r="Q44" s="35"/>
      <c r="R44" s="35"/>
      <c r="S44" s="35"/>
      <c r="T44" s="35"/>
      <c r="U44" s="35"/>
      <c r="V44" s="35"/>
      <c r="W44" s="35">
        <f t="shared" si="16"/>
        <v>33350</v>
      </c>
      <c r="X44" s="35">
        <v>32600</v>
      </c>
      <c r="Y44" s="35">
        <v>750</v>
      </c>
      <c r="Z44" s="35">
        <v>0</v>
      </c>
      <c r="AA44" s="35"/>
      <c r="AB44" s="35"/>
      <c r="AC44" s="35"/>
      <c r="AD44" s="35"/>
      <c r="AE44" s="35"/>
      <c r="AF44" s="35"/>
      <c r="AG44" s="35"/>
      <c r="AH44" s="35"/>
      <c r="AI44" s="35"/>
      <c r="AJ44" s="35">
        <f t="shared" si="56"/>
        <v>33350</v>
      </c>
      <c r="AK44" s="35">
        <v>32600</v>
      </c>
      <c r="AL44" s="35">
        <v>750</v>
      </c>
      <c r="AM44" s="35">
        <v>0</v>
      </c>
      <c r="AN44" s="35"/>
      <c r="AO44" s="35"/>
      <c r="AP44" s="35"/>
      <c r="AQ44" s="35"/>
      <c r="AR44" s="35"/>
      <c r="AS44" s="35"/>
      <c r="AT44" s="35"/>
      <c r="AU44" s="35"/>
      <c r="AV44" s="35"/>
      <c r="AW44" s="35">
        <f t="shared" si="1"/>
        <v>33350</v>
      </c>
      <c r="AX44" s="35">
        <f t="shared" si="2"/>
        <v>100050</v>
      </c>
      <c r="AY44" s="35">
        <v>0</v>
      </c>
      <c r="AZ44" s="35">
        <v>0</v>
      </c>
      <c r="BA44" s="35">
        <v>0</v>
      </c>
      <c r="BB44" s="35"/>
      <c r="BC44" s="35"/>
      <c r="BD44" s="35"/>
      <c r="BE44" s="35"/>
      <c r="BF44" s="35"/>
      <c r="BG44" s="35"/>
      <c r="BH44" s="35"/>
      <c r="BI44" s="35"/>
      <c r="BJ44" s="35"/>
      <c r="BK44" s="35">
        <f t="shared" si="5"/>
        <v>0</v>
      </c>
      <c r="BL44" s="35">
        <v>0</v>
      </c>
      <c r="BM44" s="35">
        <v>0</v>
      </c>
      <c r="BN44" s="35">
        <v>0</v>
      </c>
      <c r="BO44" s="35"/>
      <c r="BP44" s="35"/>
      <c r="BQ44" s="35"/>
      <c r="BR44" s="35"/>
      <c r="BS44" s="35"/>
      <c r="BT44" s="35"/>
      <c r="BU44" s="35"/>
      <c r="BV44" s="35"/>
      <c r="BW44" s="35"/>
      <c r="BX44" s="35">
        <f t="shared" si="6"/>
        <v>0</v>
      </c>
      <c r="BY44" s="35">
        <v>0</v>
      </c>
      <c r="BZ44" s="35">
        <v>0</v>
      </c>
      <c r="CA44" s="35">
        <v>0</v>
      </c>
      <c r="CB44" s="35"/>
      <c r="CC44" s="35"/>
      <c r="CD44" s="35"/>
      <c r="CE44" s="35"/>
      <c r="CF44" s="35"/>
      <c r="CG44" s="35"/>
      <c r="CH44" s="35"/>
      <c r="CI44" s="35"/>
      <c r="CJ44" s="35"/>
      <c r="CK44" s="35">
        <f t="shared" si="7"/>
        <v>0</v>
      </c>
      <c r="CL44" s="35">
        <f t="shared" si="8"/>
        <v>0</v>
      </c>
      <c r="CM44" s="35">
        <v>0</v>
      </c>
      <c r="CN44" s="35">
        <v>0</v>
      </c>
      <c r="CO44" s="35">
        <v>0</v>
      </c>
      <c r="CP44" s="35"/>
      <c r="CQ44" s="35"/>
      <c r="CR44" s="35"/>
      <c r="CS44" s="35"/>
      <c r="CT44" s="35"/>
      <c r="CU44" s="35"/>
      <c r="CV44" s="35"/>
      <c r="CW44" s="35"/>
      <c r="CX44" s="35"/>
      <c r="CY44" s="35">
        <f t="shared" si="9"/>
        <v>0</v>
      </c>
      <c r="CZ44" s="35">
        <v>0</v>
      </c>
      <c r="DA44" s="35">
        <v>0</v>
      </c>
      <c r="DB44" s="35">
        <v>0</v>
      </c>
      <c r="DC44" s="35"/>
      <c r="DD44" s="35"/>
      <c r="DE44" s="35"/>
      <c r="DF44" s="35"/>
      <c r="DG44" s="35"/>
      <c r="DH44" s="35"/>
      <c r="DI44" s="35"/>
      <c r="DJ44" s="35"/>
      <c r="DK44" s="35"/>
      <c r="DL44" s="35">
        <f t="shared" si="3"/>
        <v>0</v>
      </c>
      <c r="DM44" s="35">
        <v>0</v>
      </c>
      <c r="DN44" s="35">
        <v>0</v>
      </c>
      <c r="DO44" s="35">
        <v>0</v>
      </c>
      <c r="DP44" s="35"/>
      <c r="DQ44" s="35"/>
      <c r="DR44" s="35"/>
      <c r="DS44" s="35"/>
      <c r="DT44" s="35"/>
      <c r="DU44" s="35"/>
      <c r="DV44" s="35"/>
      <c r="DW44" s="35"/>
      <c r="DX44" s="35"/>
      <c r="DY44" s="35">
        <f t="shared" si="10"/>
        <v>0</v>
      </c>
      <c r="DZ44" s="35">
        <f t="shared" si="11"/>
        <v>0</v>
      </c>
      <c r="EA44" s="35">
        <v>0</v>
      </c>
      <c r="EB44" s="35">
        <v>0</v>
      </c>
      <c r="EC44" s="35">
        <v>0</v>
      </c>
      <c r="ED44" s="35"/>
      <c r="EE44" s="35"/>
      <c r="EF44" s="35"/>
      <c r="EG44" s="35"/>
      <c r="EH44" s="35"/>
      <c r="EI44" s="35"/>
      <c r="EJ44" s="35"/>
      <c r="EK44" s="35"/>
      <c r="EL44" s="35"/>
      <c r="EM44" s="35">
        <f t="shared" si="12"/>
        <v>0</v>
      </c>
      <c r="EN44" s="35">
        <v>0</v>
      </c>
      <c r="EO44" s="35">
        <v>0</v>
      </c>
      <c r="EP44" s="35">
        <v>0</v>
      </c>
      <c r="EQ44" s="35"/>
      <c r="ER44" s="35"/>
      <c r="ES44" s="35"/>
      <c r="ET44" s="35"/>
      <c r="EU44" s="35"/>
      <c r="EV44" s="35"/>
      <c r="EW44" s="35"/>
      <c r="EX44" s="35"/>
      <c r="EY44" s="35"/>
      <c r="EZ44" s="35">
        <f t="shared" si="4"/>
        <v>0</v>
      </c>
      <c r="FA44" s="35">
        <v>0</v>
      </c>
      <c r="FB44" s="35">
        <v>0</v>
      </c>
      <c r="FC44" s="35">
        <v>0</v>
      </c>
      <c r="FD44" s="35"/>
      <c r="FE44" s="35"/>
      <c r="FF44" s="35"/>
      <c r="FG44" s="35"/>
      <c r="FH44" s="35"/>
      <c r="FI44" s="35"/>
      <c r="FJ44" s="35"/>
      <c r="FK44" s="35"/>
      <c r="FL44" s="35"/>
      <c r="FM44" s="35">
        <f t="shared" si="13"/>
        <v>0</v>
      </c>
      <c r="FN44" s="35">
        <f t="shared" si="14"/>
        <v>0</v>
      </c>
      <c r="FO44" s="35">
        <f t="shared" si="15"/>
        <v>100050</v>
      </c>
    </row>
    <row r="45" spans="1:171" x14ac:dyDescent="0.35">
      <c r="A45" s="34"/>
      <c r="B45" s="40"/>
      <c r="C45" s="58"/>
      <c r="D45" s="79" t="s">
        <v>151</v>
      </c>
      <c r="E45" s="40" t="s">
        <v>8</v>
      </c>
      <c r="F45" s="58" t="s">
        <v>17</v>
      </c>
      <c r="G45" s="58"/>
      <c r="H45" s="58"/>
      <c r="I45" s="58"/>
      <c r="J45" s="58"/>
      <c r="K45" s="35">
        <v>32640</v>
      </c>
      <c r="L45" s="35">
        <v>750</v>
      </c>
      <c r="M45" s="35">
        <v>979</v>
      </c>
      <c r="N45" s="35"/>
      <c r="O45" s="35"/>
      <c r="P45" s="35"/>
      <c r="Q45" s="35"/>
      <c r="R45" s="35"/>
      <c r="S45" s="35"/>
      <c r="T45" s="35"/>
      <c r="U45" s="35"/>
      <c r="V45" s="35"/>
      <c r="W45" s="35">
        <f t="shared" si="16"/>
        <v>34369</v>
      </c>
      <c r="X45" s="35">
        <v>32640</v>
      </c>
      <c r="Y45" s="35">
        <v>750</v>
      </c>
      <c r="Z45" s="35">
        <v>979</v>
      </c>
      <c r="AA45" s="35"/>
      <c r="AB45" s="35"/>
      <c r="AC45" s="35"/>
      <c r="AD45" s="35"/>
      <c r="AE45" s="35"/>
      <c r="AF45" s="35"/>
      <c r="AG45" s="35"/>
      <c r="AH45" s="35"/>
      <c r="AI45" s="35"/>
      <c r="AJ45" s="35">
        <f t="shared" si="56"/>
        <v>34369</v>
      </c>
      <c r="AK45" s="35">
        <v>32640</v>
      </c>
      <c r="AL45" s="35">
        <v>750</v>
      </c>
      <c r="AM45" s="35">
        <v>979</v>
      </c>
      <c r="AN45" s="35"/>
      <c r="AO45" s="35"/>
      <c r="AP45" s="35"/>
      <c r="AQ45" s="35"/>
      <c r="AR45" s="35"/>
      <c r="AS45" s="35"/>
      <c r="AT45" s="35"/>
      <c r="AU45" s="35"/>
      <c r="AV45" s="35"/>
      <c r="AW45" s="35">
        <f t="shared" si="1"/>
        <v>34369</v>
      </c>
      <c r="AX45" s="35">
        <f t="shared" si="2"/>
        <v>103107</v>
      </c>
      <c r="AY45" s="35">
        <v>32640</v>
      </c>
      <c r="AZ45" s="35">
        <v>750</v>
      </c>
      <c r="BA45" s="35">
        <v>979</v>
      </c>
      <c r="BB45" s="35"/>
      <c r="BC45" s="35"/>
      <c r="BD45" s="35"/>
      <c r="BE45" s="35"/>
      <c r="BF45" s="35"/>
      <c r="BG45" s="35"/>
      <c r="BH45" s="35"/>
      <c r="BI45" s="35"/>
      <c r="BJ45" s="35"/>
      <c r="BK45" s="35">
        <f t="shared" si="5"/>
        <v>34369</v>
      </c>
      <c r="BL45" s="35">
        <v>32640</v>
      </c>
      <c r="BM45" s="35">
        <v>750</v>
      </c>
      <c r="BN45" s="35">
        <v>979</v>
      </c>
      <c r="BO45" s="35"/>
      <c r="BP45" s="35"/>
      <c r="BQ45" s="35"/>
      <c r="BR45" s="35"/>
      <c r="BS45" s="35"/>
      <c r="BT45" s="35"/>
      <c r="BU45" s="35"/>
      <c r="BV45" s="35"/>
      <c r="BW45" s="35"/>
      <c r="BX45" s="35">
        <f t="shared" si="6"/>
        <v>34369</v>
      </c>
      <c r="BY45" s="35">
        <v>32640</v>
      </c>
      <c r="BZ45" s="35">
        <v>750</v>
      </c>
      <c r="CA45" s="35">
        <v>979</v>
      </c>
      <c r="CB45" s="35"/>
      <c r="CC45" s="35"/>
      <c r="CD45" s="35"/>
      <c r="CE45" s="35"/>
      <c r="CF45" s="35"/>
      <c r="CG45" s="35"/>
      <c r="CH45" s="35"/>
      <c r="CI45" s="35"/>
      <c r="CJ45" s="35"/>
      <c r="CK45" s="35">
        <f t="shared" si="7"/>
        <v>34369</v>
      </c>
      <c r="CL45" s="35">
        <f t="shared" si="8"/>
        <v>103107</v>
      </c>
      <c r="CM45" s="35">
        <v>34280</v>
      </c>
      <c r="CN45" s="35">
        <v>750</v>
      </c>
      <c r="CO45" s="35">
        <v>1028</v>
      </c>
      <c r="CP45" s="35"/>
      <c r="CQ45" s="35"/>
      <c r="CR45" s="35"/>
      <c r="CS45" s="35"/>
      <c r="CT45" s="35"/>
      <c r="CU45" s="35"/>
      <c r="CV45" s="35"/>
      <c r="CW45" s="35"/>
      <c r="CX45" s="35"/>
      <c r="CY45" s="35">
        <f t="shared" si="9"/>
        <v>36058</v>
      </c>
      <c r="CZ45" s="35">
        <f>9840+34280</f>
        <v>44120</v>
      </c>
      <c r="DA45" s="35">
        <v>750</v>
      </c>
      <c r="DB45" s="35">
        <f>294+1028</f>
        <v>1322</v>
      </c>
      <c r="DC45" s="35"/>
      <c r="DD45" s="35"/>
      <c r="DE45" s="35"/>
      <c r="DF45" s="35"/>
      <c r="DG45" s="35"/>
      <c r="DH45" s="35"/>
      <c r="DI45" s="35"/>
      <c r="DJ45" s="35"/>
      <c r="DK45" s="35"/>
      <c r="DL45" s="35">
        <f t="shared" si="3"/>
        <v>46192</v>
      </c>
      <c r="DM45" s="35">
        <v>34280</v>
      </c>
      <c r="DN45" s="35">
        <v>750</v>
      </c>
      <c r="DO45" s="35">
        <v>1028</v>
      </c>
      <c r="DP45" s="35"/>
      <c r="DQ45" s="35"/>
      <c r="DR45" s="35"/>
      <c r="DS45" s="35"/>
      <c r="DT45" s="35"/>
      <c r="DU45" s="35"/>
      <c r="DV45" s="35"/>
      <c r="DW45" s="35"/>
      <c r="DX45" s="35"/>
      <c r="DY45" s="35">
        <f t="shared" si="10"/>
        <v>36058</v>
      </c>
      <c r="DZ45" s="35">
        <f t="shared" si="11"/>
        <v>118308</v>
      </c>
      <c r="EA45" s="35">
        <v>34280</v>
      </c>
      <c r="EB45" s="35">
        <v>750</v>
      </c>
      <c r="EC45" s="35">
        <v>1028</v>
      </c>
      <c r="ED45" s="35"/>
      <c r="EE45" s="35"/>
      <c r="EF45" s="35"/>
      <c r="EG45" s="35"/>
      <c r="EH45" s="35"/>
      <c r="EI45" s="35"/>
      <c r="EJ45" s="35"/>
      <c r="EK45" s="35"/>
      <c r="EL45" s="35"/>
      <c r="EM45" s="35">
        <f t="shared" si="12"/>
        <v>36058</v>
      </c>
      <c r="EN45" s="35">
        <v>34280</v>
      </c>
      <c r="EO45" s="35">
        <v>750</v>
      </c>
      <c r="EP45" s="35">
        <v>1028</v>
      </c>
      <c r="EQ45" s="35"/>
      <c r="ER45" s="35"/>
      <c r="ES45" s="35"/>
      <c r="ET45" s="35"/>
      <c r="EU45" s="35"/>
      <c r="EV45" s="35"/>
      <c r="EW45" s="35"/>
      <c r="EX45" s="35"/>
      <c r="EY45" s="35"/>
      <c r="EZ45" s="35">
        <f t="shared" si="4"/>
        <v>36058</v>
      </c>
      <c r="FA45" s="35">
        <v>34280</v>
      </c>
      <c r="FB45" s="35">
        <v>750</v>
      </c>
      <c r="FC45" s="35">
        <v>1028</v>
      </c>
      <c r="FD45" s="35"/>
      <c r="FE45" s="35"/>
      <c r="FF45" s="35"/>
      <c r="FG45" s="35"/>
      <c r="FH45" s="35"/>
      <c r="FI45" s="35"/>
      <c r="FJ45" s="35"/>
      <c r="FK45" s="35"/>
      <c r="FL45" s="35"/>
      <c r="FM45" s="35">
        <f t="shared" si="13"/>
        <v>36058</v>
      </c>
      <c r="FN45" s="35">
        <f t="shared" si="14"/>
        <v>108174</v>
      </c>
      <c r="FO45" s="35">
        <f t="shared" si="15"/>
        <v>432696</v>
      </c>
    </row>
    <row r="46" spans="1:171" x14ac:dyDescent="0.35">
      <c r="A46" s="34"/>
      <c r="B46" s="40"/>
      <c r="C46" s="58"/>
      <c r="D46" s="79" t="s">
        <v>152</v>
      </c>
      <c r="E46" s="40" t="s">
        <v>8</v>
      </c>
      <c r="F46" s="58" t="s">
        <v>17</v>
      </c>
      <c r="G46" s="58"/>
      <c r="H46" s="58"/>
      <c r="I46" s="58"/>
      <c r="J46" s="58"/>
      <c r="K46" s="35">
        <v>32640</v>
      </c>
      <c r="L46" s="35">
        <v>750</v>
      </c>
      <c r="M46" s="35">
        <v>979</v>
      </c>
      <c r="N46" s="35"/>
      <c r="O46" s="35"/>
      <c r="P46" s="35"/>
      <c r="Q46" s="35"/>
      <c r="R46" s="35"/>
      <c r="S46" s="35"/>
      <c r="T46" s="35"/>
      <c r="U46" s="35"/>
      <c r="V46" s="35"/>
      <c r="W46" s="35">
        <f t="shared" si="16"/>
        <v>34369</v>
      </c>
      <c r="X46" s="35">
        <v>32640</v>
      </c>
      <c r="Y46" s="35">
        <v>750</v>
      </c>
      <c r="Z46" s="35">
        <v>979</v>
      </c>
      <c r="AA46" s="35"/>
      <c r="AB46" s="35"/>
      <c r="AC46" s="35"/>
      <c r="AD46" s="35"/>
      <c r="AE46" s="35"/>
      <c r="AF46" s="35"/>
      <c r="AG46" s="35"/>
      <c r="AH46" s="35"/>
      <c r="AI46" s="35"/>
      <c r="AJ46" s="35">
        <f t="shared" si="56"/>
        <v>34369</v>
      </c>
      <c r="AK46" s="35">
        <v>32640</v>
      </c>
      <c r="AL46" s="35">
        <v>750</v>
      </c>
      <c r="AM46" s="35">
        <v>979</v>
      </c>
      <c r="AN46" s="35"/>
      <c r="AO46" s="35"/>
      <c r="AP46" s="35"/>
      <c r="AQ46" s="35"/>
      <c r="AR46" s="35"/>
      <c r="AS46" s="35"/>
      <c r="AT46" s="35"/>
      <c r="AU46" s="35"/>
      <c r="AV46" s="35"/>
      <c r="AW46" s="35">
        <f t="shared" si="1"/>
        <v>34369</v>
      </c>
      <c r="AX46" s="35">
        <f t="shared" si="2"/>
        <v>103107</v>
      </c>
      <c r="AY46" s="35">
        <v>32640</v>
      </c>
      <c r="AZ46" s="35">
        <v>750</v>
      </c>
      <c r="BA46" s="35">
        <v>979</v>
      </c>
      <c r="BB46" s="35"/>
      <c r="BC46" s="35"/>
      <c r="BD46" s="35"/>
      <c r="BE46" s="35"/>
      <c r="BF46" s="35"/>
      <c r="BG46" s="35"/>
      <c r="BH46" s="35"/>
      <c r="BI46" s="35"/>
      <c r="BJ46" s="35"/>
      <c r="BK46" s="35">
        <f t="shared" si="5"/>
        <v>34369</v>
      </c>
      <c r="BL46" s="35">
        <v>32640</v>
      </c>
      <c r="BM46" s="35">
        <v>750</v>
      </c>
      <c r="BN46" s="35">
        <v>979</v>
      </c>
      <c r="BO46" s="35"/>
      <c r="BP46" s="35"/>
      <c r="BQ46" s="35"/>
      <c r="BR46" s="35"/>
      <c r="BS46" s="35"/>
      <c r="BT46" s="35"/>
      <c r="BU46" s="35"/>
      <c r="BV46" s="35"/>
      <c r="BW46" s="35"/>
      <c r="BX46" s="35">
        <f t="shared" si="6"/>
        <v>34369</v>
      </c>
      <c r="BY46" s="35">
        <v>32640</v>
      </c>
      <c r="BZ46" s="35">
        <v>750</v>
      </c>
      <c r="CA46" s="35">
        <v>979</v>
      </c>
      <c r="CB46" s="35"/>
      <c r="CC46" s="35"/>
      <c r="CD46" s="35"/>
      <c r="CE46" s="35"/>
      <c r="CF46" s="35"/>
      <c r="CG46" s="35"/>
      <c r="CH46" s="35"/>
      <c r="CI46" s="35"/>
      <c r="CJ46" s="35"/>
      <c r="CK46" s="35">
        <f t="shared" si="7"/>
        <v>34369</v>
      </c>
      <c r="CL46" s="35">
        <f t="shared" si="8"/>
        <v>103107</v>
      </c>
      <c r="CM46" s="35">
        <v>34280</v>
      </c>
      <c r="CN46" s="35">
        <v>750</v>
      </c>
      <c r="CO46" s="35">
        <v>1028</v>
      </c>
      <c r="CP46" s="35"/>
      <c r="CQ46" s="35"/>
      <c r="CR46" s="35"/>
      <c r="CS46" s="35"/>
      <c r="CT46" s="35"/>
      <c r="CU46" s="35"/>
      <c r="CV46" s="35"/>
      <c r="CW46" s="35"/>
      <c r="CX46" s="35"/>
      <c r="CY46" s="35">
        <f t="shared" si="9"/>
        <v>36058</v>
      </c>
      <c r="CZ46" s="35">
        <f>9840+34280</f>
        <v>44120</v>
      </c>
      <c r="DA46" s="35">
        <v>750</v>
      </c>
      <c r="DB46" s="35">
        <f>294+1028</f>
        <v>1322</v>
      </c>
      <c r="DC46" s="35"/>
      <c r="DD46" s="35"/>
      <c r="DE46" s="35"/>
      <c r="DF46" s="35"/>
      <c r="DG46" s="35"/>
      <c r="DH46" s="35"/>
      <c r="DI46" s="35"/>
      <c r="DJ46" s="35"/>
      <c r="DK46" s="35"/>
      <c r="DL46" s="35">
        <f t="shared" si="3"/>
        <v>46192</v>
      </c>
      <c r="DM46" s="35">
        <v>34280</v>
      </c>
      <c r="DN46" s="35">
        <v>750</v>
      </c>
      <c r="DO46" s="35">
        <v>1028</v>
      </c>
      <c r="DP46" s="35"/>
      <c r="DQ46" s="35"/>
      <c r="DR46" s="35"/>
      <c r="DS46" s="35"/>
      <c r="DT46" s="35"/>
      <c r="DU46" s="35"/>
      <c r="DV46" s="35"/>
      <c r="DW46" s="35"/>
      <c r="DX46" s="35"/>
      <c r="DY46" s="35">
        <f t="shared" si="10"/>
        <v>36058</v>
      </c>
      <c r="DZ46" s="35">
        <f t="shared" si="11"/>
        <v>118308</v>
      </c>
      <c r="EA46" s="35">
        <v>34280</v>
      </c>
      <c r="EB46" s="35">
        <v>750</v>
      </c>
      <c r="EC46" s="35">
        <v>1028</v>
      </c>
      <c r="ED46" s="35"/>
      <c r="EE46" s="35"/>
      <c r="EF46" s="35"/>
      <c r="EG46" s="35"/>
      <c r="EH46" s="35"/>
      <c r="EI46" s="35"/>
      <c r="EJ46" s="35"/>
      <c r="EK46" s="35"/>
      <c r="EL46" s="35"/>
      <c r="EM46" s="35">
        <f t="shared" si="12"/>
        <v>36058</v>
      </c>
      <c r="EN46" s="35">
        <v>34280</v>
      </c>
      <c r="EO46" s="35">
        <v>750</v>
      </c>
      <c r="EP46" s="35">
        <v>1028</v>
      </c>
      <c r="EQ46" s="35"/>
      <c r="ER46" s="35"/>
      <c r="ES46" s="35"/>
      <c r="ET46" s="35"/>
      <c r="EU46" s="35"/>
      <c r="EV46" s="35"/>
      <c r="EW46" s="35"/>
      <c r="EX46" s="35"/>
      <c r="EY46" s="35"/>
      <c r="EZ46" s="35">
        <f t="shared" si="4"/>
        <v>36058</v>
      </c>
      <c r="FA46" s="35">
        <v>34280</v>
      </c>
      <c r="FB46" s="35">
        <v>750</v>
      </c>
      <c r="FC46" s="35">
        <v>1028</v>
      </c>
      <c r="FD46" s="35"/>
      <c r="FE46" s="35"/>
      <c r="FF46" s="35"/>
      <c r="FG46" s="35"/>
      <c r="FH46" s="35"/>
      <c r="FI46" s="35"/>
      <c r="FJ46" s="35"/>
      <c r="FK46" s="35"/>
      <c r="FL46" s="35"/>
      <c r="FM46" s="35">
        <f t="shared" si="13"/>
        <v>36058</v>
      </c>
      <c r="FN46" s="35">
        <f t="shared" si="14"/>
        <v>108174</v>
      </c>
      <c r="FO46" s="35">
        <f t="shared" si="15"/>
        <v>432696</v>
      </c>
    </row>
    <row r="47" spans="1:171" x14ac:dyDescent="0.35">
      <c r="A47" s="34"/>
      <c r="B47" s="40"/>
      <c r="C47" s="58"/>
      <c r="D47" s="79" t="s">
        <v>153</v>
      </c>
      <c r="E47" s="40" t="s">
        <v>8</v>
      </c>
      <c r="F47" s="58" t="s">
        <v>17</v>
      </c>
      <c r="G47" s="58"/>
      <c r="H47" s="58"/>
      <c r="I47" s="58"/>
      <c r="J47" s="58"/>
      <c r="K47" s="35">
        <v>29590</v>
      </c>
      <c r="L47" s="35">
        <v>750</v>
      </c>
      <c r="M47" s="35">
        <v>0</v>
      </c>
      <c r="N47" s="35"/>
      <c r="O47" s="35"/>
      <c r="P47" s="35"/>
      <c r="Q47" s="35"/>
      <c r="R47" s="35"/>
      <c r="S47" s="35"/>
      <c r="T47" s="35"/>
      <c r="U47" s="35"/>
      <c r="V47" s="35"/>
      <c r="W47" s="35">
        <f t="shared" si="16"/>
        <v>30340</v>
      </c>
      <c r="X47" s="35">
        <v>29590</v>
      </c>
      <c r="Y47" s="35">
        <v>750</v>
      </c>
      <c r="Z47" s="35">
        <v>0</v>
      </c>
      <c r="AA47" s="35"/>
      <c r="AB47" s="35"/>
      <c r="AC47" s="35"/>
      <c r="AD47" s="35"/>
      <c r="AE47" s="35"/>
      <c r="AF47" s="35"/>
      <c r="AG47" s="35"/>
      <c r="AH47" s="35"/>
      <c r="AI47" s="35"/>
      <c r="AJ47" s="35">
        <f t="shared" si="56"/>
        <v>30340</v>
      </c>
      <c r="AK47" s="35">
        <v>29590</v>
      </c>
      <c r="AL47" s="35">
        <v>750</v>
      </c>
      <c r="AM47" s="35">
        <v>0</v>
      </c>
      <c r="AN47" s="35"/>
      <c r="AO47" s="35"/>
      <c r="AP47" s="35"/>
      <c r="AQ47" s="35"/>
      <c r="AR47" s="35"/>
      <c r="AS47" s="35"/>
      <c r="AT47" s="35"/>
      <c r="AU47" s="35"/>
      <c r="AV47" s="35"/>
      <c r="AW47" s="35">
        <f t="shared" si="1"/>
        <v>30340</v>
      </c>
      <c r="AX47" s="35">
        <f t="shared" si="2"/>
        <v>91020</v>
      </c>
      <c r="AY47" s="35">
        <v>29590</v>
      </c>
      <c r="AZ47" s="35">
        <v>750</v>
      </c>
      <c r="BA47" s="35">
        <v>0</v>
      </c>
      <c r="BB47" s="35"/>
      <c r="BC47" s="35"/>
      <c r="BD47" s="35"/>
      <c r="BE47" s="35"/>
      <c r="BF47" s="35"/>
      <c r="BG47" s="35"/>
      <c r="BH47" s="35"/>
      <c r="BI47" s="35"/>
      <c r="BJ47" s="35"/>
      <c r="BK47" s="35">
        <f t="shared" si="5"/>
        <v>30340</v>
      </c>
      <c r="BL47" s="35">
        <v>29590</v>
      </c>
      <c r="BM47" s="35">
        <v>750</v>
      </c>
      <c r="BN47" s="35">
        <v>0</v>
      </c>
      <c r="BO47" s="35"/>
      <c r="BP47" s="35"/>
      <c r="BQ47" s="35"/>
      <c r="BR47" s="35"/>
      <c r="BS47" s="35"/>
      <c r="BT47" s="35"/>
      <c r="BU47" s="35"/>
      <c r="BV47" s="35"/>
      <c r="BW47" s="35"/>
      <c r="BX47" s="35">
        <f t="shared" si="6"/>
        <v>30340</v>
      </c>
      <c r="BY47" s="35">
        <v>29590</v>
      </c>
      <c r="BZ47" s="35">
        <v>750</v>
      </c>
      <c r="CA47" s="35">
        <v>0</v>
      </c>
      <c r="CB47" s="35"/>
      <c r="CC47" s="35"/>
      <c r="CD47" s="35"/>
      <c r="CE47" s="35"/>
      <c r="CF47" s="35"/>
      <c r="CG47" s="35"/>
      <c r="CH47" s="35"/>
      <c r="CI47" s="35"/>
      <c r="CJ47" s="35"/>
      <c r="CK47" s="35">
        <f t="shared" si="7"/>
        <v>30340</v>
      </c>
      <c r="CL47" s="35">
        <f t="shared" si="8"/>
        <v>91020</v>
      </c>
      <c r="CM47" s="35">
        <v>29590</v>
      </c>
      <c r="CN47" s="35">
        <v>750</v>
      </c>
      <c r="CO47" s="35">
        <v>0</v>
      </c>
      <c r="CP47" s="35"/>
      <c r="CQ47" s="35"/>
      <c r="CR47" s="35"/>
      <c r="CS47" s="35"/>
      <c r="CT47" s="35"/>
      <c r="CU47" s="35"/>
      <c r="CV47" s="35"/>
      <c r="CW47" s="35"/>
      <c r="CX47" s="35"/>
      <c r="CY47" s="35">
        <f t="shared" si="9"/>
        <v>30340</v>
      </c>
      <c r="CZ47" s="35">
        <v>29590</v>
      </c>
      <c r="DA47" s="35">
        <v>750</v>
      </c>
      <c r="DB47" s="35">
        <v>0</v>
      </c>
      <c r="DC47" s="35"/>
      <c r="DD47" s="35"/>
      <c r="DE47" s="35"/>
      <c r="DF47" s="35"/>
      <c r="DG47" s="35"/>
      <c r="DH47" s="35"/>
      <c r="DI47" s="35"/>
      <c r="DJ47" s="35"/>
      <c r="DK47" s="35"/>
      <c r="DL47" s="35">
        <f t="shared" si="3"/>
        <v>30340</v>
      </c>
      <c r="DM47" s="35">
        <v>29590</v>
      </c>
      <c r="DN47" s="35">
        <v>750</v>
      </c>
      <c r="DO47" s="35">
        <v>0</v>
      </c>
      <c r="DP47" s="35"/>
      <c r="DQ47" s="35"/>
      <c r="DR47" s="35"/>
      <c r="DS47" s="35"/>
      <c r="DT47" s="35"/>
      <c r="DU47" s="35"/>
      <c r="DV47" s="35"/>
      <c r="DW47" s="35"/>
      <c r="DX47" s="35"/>
      <c r="DY47" s="35">
        <f t="shared" si="10"/>
        <v>30340</v>
      </c>
      <c r="DZ47" s="35">
        <f t="shared" si="11"/>
        <v>91020</v>
      </c>
      <c r="EA47" s="35">
        <v>29590</v>
      </c>
      <c r="EB47" s="35">
        <v>750</v>
      </c>
      <c r="EC47" s="35">
        <v>0</v>
      </c>
      <c r="ED47" s="35"/>
      <c r="EE47" s="35"/>
      <c r="EF47" s="35"/>
      <c r="EG47" s="35"/>
      <c r="EH47" s="35"/>
      <c r="EI47" s="35"/>
      <c r="EJ47" s="35"/>
      <c r="EK47" s="35"/>
      <c r="EL47" s="35"/>
      <c r="EM47" s="35">
        <f t="shared" si="12"/>
        <v>30340</v>
      </c>
      <c r="EN47" s="35">
        <v>29590</v>
      </c>
      <c r="EO47" s="35">
        <v>750</v>
      </c>
      <c r="EP47" s="35">
        <v>0</v>
      </c>
      <c r="EQ47" s="35"/>
      <c r="ER47" s="35"/>
      <c r="ES47" s="35"/>
      <c r="ET47" s="35"/>
      <c r="EU47" s="35"/>
      <c r="EV47" s="35"/>
      <c r="EW47" s="35"/>
      <c r="EX47" s="35"/>
      <c r="EY47" s="35"/>
      <c r="EZ47" s="35">
        <f t="shared" si="4"/>
        <v>30340</v>
      </c>
      <c r="FA47" s="35">
        <v>29590</v>
      </c>
      <c r="FB47" s="35">
        <v>750</v>
      </c>
      <c r="FC47" s="35">
        <v>0</v>
      </c>
      <c r="FD47" s="35"/>
      <c r="FE47" s="35"/>
      <c r="FF47" s="35"/>
      <c r="FG47" s="35"/>
      <c r="FH47" s="35"/>
      <c r="FI47" s="35"/>
      <c r="FJ47" s="35"/>
      <c r="FK47" s="35"/>
      <c r="FL47" s="35"/>
      <c r="FM47" s="35">
        <f t="shared" si="13"/>
        <v>30340</v>
      </c>
      <c r="FN47" s="35">
        <f t="shared" si="14"/>
        <v>91020</v>
      </c>
      <c r="FO47" s="35">
        <f t="shared" si="15"/>
        <v>364080</v>
      </c>
    </row>
    <row r="48" spans="1:171" x14ac:dyDescent="0.35">
      <c r="A48" s="34"/>
      <c r="B48" s="40"/>
      <c r="C48" s="58"/>
      <c r="D48" s="79" t="s">
        <v>154</v>
      </c>
      <c r="E48" s="40" t="s">
        <v>8</v>
      </c>
      <c r="F48" s="58" t="s">
        <v>17</v>
      </c>
      <c r="G48" s="58"/>
      <c r="H48" s="58"/>
      <c r="I48" s="58"/>
      <c r="J48" s="58"/>
      <c r="K48" s="35">
        <v>29050</v>
      </c>
      <c r="L48" s="35">
        <v>750</v>
      </c>
      <c r="M48" s="35">
        <v>0</v>
      </c>
      <c r="N48" s="35"/>
      <c r="O48" s="35"/>
      <c r="P48" s="35"/>
      <c r="Q48" s="35"/>
      <c r="R48" s="35"/>
      <c r="S48" s="35"/>
      <c r="T48" s="35"/>
      <c r="U48" s="35"/>
      <c r="V48" s="35"/>
      <c r="W48" s="35">
        <f t="shared" si="16"/>
        <v>29800</v>
      </c>
      <c r="X48" s="35">
        <v>29050</v>
      </c>
      <c r="Y48" s="35">
        <v>750</v>
      </c>
      <c r="Z48" s="35">
        <v>0</v>
      </c>
      <c r="AA48" s="35"/>
      <c r="AB48" s="35"/>
      <c r="AC48" s="35"/>
      <c r="AD48" s="35"/>
      <c r="AE48" s="35"/>
      <c r="AF48" s="35"/>
      <c r="AG48" s="35"/>
      <c r="AH48" s="35"/>
      <c r="AI48" s="35"/>
      <c r="AJ48" s="35">
        <f t="shared" si="56"/>
        <v>29800</v>
      </c>
      <c r="AK48" s="35">
        <v>29050</v>
      </c>
      <c r="AL48" s="35">
        <v>750</v>
      </c>
      <c r="AM48" s="35">
        <v>0</v>
      </c>
      <c r="AN48" s="35"/>
      <c r="AO48" s="35"/>
      <c r="AP48" s="35"/>
      <c r="AQ48" s="35"/>
      <c r="AR48" s="35"/>
      <c r="AS48" s="35"/>
      <c r="AT48" s="35"/>
      <c r="AU48" s="35"/>
      <c r="AV48" s="35"/>
      <c r="AW48" s="35">
        <f t="shared" si="1"/>
        <v>29800</v>
      </c>
      <c r="AX48" s="35">
        <f t="shared" si="2"/>
        <v>89400</v>
      </c>
      <c r="AY48" s="35">
        <v>29050</v>
      </c>
      <c r="AZ48" s="35">
        <v>750</v>
      </c>
      <c r="BA48" s="35">
        <v>0</v>
      </c>
      <c r="BB48" s="35"/>
      <c r="BC48" s="35"/>
      <c r="BD48" s="35"/>
      <c r="BE48" s="35"/>
      <c r="BF48" s="35"/>
      <c r="BG48" s="35"/>
      <c r="BH48" s="35"/>
      <c r="BI48" s="35"/>
      <c r="BJ48" s="35"/>
      <c r="BK48" s="35">
        <f t="shared" si="5"/>
        <v>29800</v>
      </c>
      <c r="BL48" s="35">
        <v>29050</v>
      </c>
      <c r="BM48" s="35">
        <v>750</v>
      </c>
      <c r="BN48" s="35">
        <v>0</v>
      </c>
      <c r="BO48" s="35"/>
      <c r="BP48" s="35"/>
      <c r="BQ48" s="35"/>
      <c r="BR48" s="35"/>
      <c r="BS48" s="35"/>
      <c r="BT48" s="35"/>
      <c r="BU48" s="35"/>
      <c r="BV48" s="35"/>
      <c r="BW48" s="35"/>
      <c r="BX48" s="35">
        <f t="shared" si="6"/>
        <v>29800</v>
      </c>
      <c r="BY48" s="35">
        <v>29050</v>
      </c>
      <c r="BZ48" s="35">
        <v>750</v>
      </c>
      <c r="CA48" s="35">
        <v>0</v>
      </c>
      <c r="CB48" s="35"/>
      <c r="CC48" s="35"/>
      <c r="CD48" s="35"/>
      <c r="CE48" s="35"/>
      <c r="CF48" s="35"/>
      <c r="CG48" s="35"/>
      <c r="CH48" s="35"/>
      <c r="CI48" s="35"/>
      <c r="CJ48" s="35"/>
      <c r="CK48" s="35">
        <f t="shared" si="7"/>
        <v>29800</v>
      </c>
      <c r="CL48" s="35">
        <f t="shared" si="8"/>
        <v>89400</v>
      </c>
      <c r="CM48" s="35">
        <v>29050</v>
      </c>
      <c r="CN48" s="35">
        <v>750</v>
      </c>
      <c r="CO48" s="35">
        <v>0</v>
      </c>
      <c r="CP48" s="35"/>
      <c r="CQ48" s="35"/>
      <c r="CR48" s="35"/>
      <c r="CS48" s="35"/>
      <c r="CT48" s="35"/>
      <c r="CU48" s="35"/>
      <c r="CV48" s="35"/>
      <c r="CW48" s="35"/>
      <c r="CX48" s="35"/>
      <c r="CY48" s="35">
        <f t="shared" si="9"/>
        <v>29800</v>
      </c>
      <c r="CZ48" s="35">
        <v>29050</v>
      </c>
      <c r="DA48" s="35">
        <v>750</v>
      </c>
      <c r="DB48" s="35">
        <v>0</v>
      </c>
      <c r="DC48" s="35"/>
      <c r="DD48" s="35"/>
      <c r="DE48" s="35"/>
      <c r="DF48" s="35"/>
      <c r="DG48" s="35"/>
      <c r="DH48" s="35"/>
      <c r="DI48" s="35"/>
      <c r="DJ48" s="35"/>
      <c r="DK48" s="35"/>
      <c r="DL48" s="35">
        <f t="shared" si="3"/>
        <v>29800</v>
      </c>
      <c r="DM48" s="35">
        <v>29050</v>
      </c>
      <c r="DN48" s="35">
        <v>750</v>
      </c>
      <c r="DO48" s="35">
        <v>0</v>
      </c>
      <c r="DP48" s="35"/>
      <c r="DQ48" s="35"/>
      <c r="DR48" s="35"/>
      <c r="DS48" s="35"/>
      <c r="DT48" s="35"/>
      <c r="DU48" s="35"/>
      <c r="DV48" s="35"/>
      <c r="DW48" s="35"/>
      <c r="DX48" s="35"/>
      <c r="DY48" s="35">
        <f t="shared" si="10"/>
        <v>29800</v>
      </c>
      <c r="DZ48" s="35">
        <f t="shared" si="11"/>
        <v>89400</v>
      </c>
      <c r="EA48" s="35">
        <v>29050</v>
      </c>
      <c r="EB48" s="35">
        <v>750</v>
      </c>
      <c r="EC48" s="35">
        <v>0</v>
      </c>
      <c r="ED48" s="35"/>
      <c r="EE48" s="35"/>
      <c r="EF48" s="35"/>
      <c r="EG48" s="35"/>
      <c r="EH48" s="35"/>
      <c r="EI48" s="35"/>
      <c r="EJ48" s="35"/>
      <c r="EK48" s="35"/>
      <c r="EL48" s="35"/>
      <c r="EM48" s="35">
        <f t="shared" si="12"/>
        <v>29800</v>
      </c>
      <c r="EN48" s="35">
        <v>29050</v>
      </c>
      <c r="EO48" s="35">
        <v>750</v>
      </c>
      <c r="EP48" s="35">
        <v>0</v>
      </c>
      <c r="EQ48" s="35"/>
      <c r="ER48" s="35"/>
      <c r="ES48" s="35"/>
      <c r="ET48" s="35"/>
      <c r="EU48" s="35"/>
      <c r="EV48" s="35"/>
      <c r="EW48" s="35"/>
      <c r="EX48" s="35"/>
      <c r="EY48" s="35"/>
      <c r="EZ48" s="35">
        <f t="shared" si="4"/>
        <v>29800</v>
      </c>
      <c r="FA48" s="35">
        <v>29050</v>
      </c>
      <c r="FB48" s="35">
        <v>750</v>
      </c>
      <c r="FC48" s="35">
        <v>0</v>
      </c>
      <c r="FD48" s="35"/>
      <c r="FE48" s="35"/>
      <c r="FF48" s="35"/>
      <c r="FG48" s="35"/>
      <c r="FH48" s="35"/>
      <c r="FI48" s="35"/>
      <c r="FJ48" s="35"/>
      <c r="FK48" s="35"/>
      <c r="FL48" s="35"/>
      <c r="FM48" s="35">
        <f t="shared" si="13"/>
        <v>29800</v>
      </c>
      <c r="FN48" s="35">
        <f t="shared" si="14"/>
        <v>89400</v>
      </c>
      <c r="FO48" s="35">
        <f t="shared" si="15"/>
        <v>357600</v>
      </c>
    </row>
    <row r="49" spans="1:171" x14ac:dyDescent="0.35">
      <c r="A49" s="34"/>
      <c r="B49" s="40"/>
      <c r="C49" s="58"/>
      <c r="D49" s="79" t="s">
        <v>155</v>
      </c>
      <c r="E49" s="58" t="s">
        <v>9</v>
      </c>
      <c r="F49" s="58" t="s">
        <v>17</v>
      </c>
      <c r="G49" s="58"/>
      <c r="H49" s="58"/>
      <c r="I49" s="58"/>
      <c r="J49" s="58"/>
      <c r="K49" s="35"/>
      <c r="L49" s="35"/>
      <c r="M49" s="35"/>
      <c r="N49" s="35">
        <v>24190</v>
      </c>
      <c r="O49" s="35">
        <v>750</v>
      </c>
      <c r="P49" s="35">
        <v>726</v>
      </c>
      <c r="Q49" s="35"/>
      <c r="R49" s="35"/>
      <c r="S49" s="35"/>
      <c r="T49" s="35"/>
      <c r="U49" s="35"/>
      <c r="V49" s="35"/>
      <c r="W49" s="35">
        <f t="shared" si="16"/>
        <v>25666</v>
      </c>
      <c r="X49" s="35"/>
      <c r="Y49" s="35"/>
      <c r="Z49" s="35"/>
      <c r="AA49" s="35">
        <v>24190</v>
      </c>
      <c r="AB49" s="35">
        <v>750</v>
      </c>
      <c r="AC49" s="35">
        <v>726</v>
      </c>
      <c r="AD49" s="35"/>
      <c r="AE49" s="35"/>
      <c r="AF49" s="35"/>
      <c r="AG49" s="35"/>
      <c r="AH49" s="35"/>
      <c r="AI49" s="35"/>
      <c r="AJ49" s="35">
        <f t="shared" si="56"/>
        <v>25666</v>
      </c>
      <c r="AK49" s="35"/>
      <c r="AL49" s="35"/>
      <c r="AM49" s="35"/>
      <c r="AN49" s="35">
        <v>24190</v>
      </c>
      <c r="AO49" s="35">
        <v>750</v>
      </c>
      <c r="AP49" s="35">
        <v>726</v>
      </c>
      <c r="AQ49" s="35"/>
      <c r="AR49" s="35"/>
      <c r="AS49" s="35"/>
      <c r="AT49" s="35"/>
      <c r="AU49" s="35"/>
      <c r="AV49" s="35"/>
      <c r="AW49" s="35">
        <f t="shared" si="1"/>
        <v>25666</v>
      </c>
      <c r="AX49" s="35">
        <f t="shared" si="2"/>
        <v>76998</v>
      </c>
      <c r="AY49" s="35"/>
      <c r="AZ49" s="35"/>
      <c r="BA49" s="35"/>
      <c r="BB49" s="35">
        <v>24190</v>
      </c>
      <c r="BC49" s="35">
        <v>750</v>
      </c>
      <c r="BD49" s="35">
        <v>726</v>
      </c>
      <c r="BE49" s="35"/>
      <c r="BF49" s="35"/>
      <c r="BG49" s="35"/>
      <c r="BH49" s="35"/>
      <c r="BI49" s="35"/>
      <c r="BJ49" s="35"/>
      <c r="BK49" s="35">
        <f t="shared" si="5"/>
        <v>25666</v>
      </c>
      <c r="BL49" s="35"/>
      <c r="BM49" s="35"/>
      <c r="BN49" s="35"/>
      <c r="BO49" s="35">
        <v>24190</v>
      </c>
      <c r="BP49" s="35">
        <v>750</v>
      </c>
      <c r="BQ49" s="35">
        <v>726</v>
      </c>
      <c r="BR49" s="35"/>
      <c r="BS49" s="35"/>
      <c r="BT49" s="35"/>
      <c r="BU49" s="35"/>
      <c r="BV49" s="35"/>
      <c r="BW49" s="35"/>
      <c r="BX49" s="35">
        <f t="shared" si="6"/>
        <v>25666</v>
      </c>
      <c r="BY49" s="35"/>
      <c r="BZ49" s="35"/>
      <c r="CA49" s="35"/>
      <c r="CB49" s="35">
        <v>24190</v>
      </c>
      <c r="CC49" s="35">
        <v>750</v>
      </c>
      <c r="CD49" s="35">
        <v>726</v>
      </c>
      <c r="CE49" s="35"/>
      <c r="CF49" s="35"/>
      <c r="CG49" s="35"/>
      <c r="CH49" s="35"/>
      <c r="CI49" s="35"/>
      <c r="CJ49" s="35"/>
      <c r="CK49" s="35">
        <f t="shared" si="7"/>
        <v>25666</v>
      </c>
      <c r="CL49" s="35">
        <f t="shared" si="8"/>
        <v>76998</v>
      </c>
      <c r="CM49" s="35"/>
      <c r="CN49" s="35"/>
      <c r="CO49" s="35"/>
      <c r="CP49" s="35">
        <v>25400</v>
      </c>
      <c r="CQ49" s="35">
        <v>750</v>
      </c>
      <c r="CR49" s="35">
        <v>762</v>
      </c>
      <c r="CS49" s="35"/>
      <c r="CT49" s="35"/>
      <c r="CU49" s="35"/>
      <c r="CV49" s="35"/>
      <c r="CW49" s="35"/>
      <c r="CX49" s="35"/>
      <c r="CY49" s="35">
        <f t="shared" si="9"/>
        <v>26912</v>
      </c>
      <c r="CZ49" s="35"/>
      <c r="DA49" s="35"/>
      <c r="DB49" s="35"/>
      <c r="DC49" s="35">
        <f>7260+25400</f>
        <v>32660</v>
      </c>
      <c r="DD49" s="35">
        <v>750</v>
      </c>
      <c r="DE49" s="35">
        <f>216+762</f>
        <v>978</v>
      </c>
      <c r="DF49" s="35"/>
      <c r="DG49" s="35"/>
      <c r="DH49" s="35"/>
      <c r="DI49" s="35"/>
      <c r="DJ49" s="35"/>
      <c r="DK49" s="35"/>
      <c r="DL49" s="35">
        <f t="shared" si="3"/>
        <v>34388</v>
      </c>
      <c r="DM49" s="35"/>
      <c r="DN49" s="35"/>
      <c r="DO49" s="35"/>
      <c r="DP49" s="35">
        <v>25400</v>
      </c>
      <c r="DQ49" s="35">
        <v>750</v>
      </c>
      <c r="DR49" s="35">
        <v>762</v>
      </c>
      <c r="DS49" s="35"/>
      <c r="DT49" s="35"/>
      <c r="DU49" s="35"/>
      <c r="DV49" s="35"/>
      <c r="DW49" s="35"/>
      <c r="DX49" s="35"/>
      <c r="DY49" s="35">
        <f t="shared" si="10"/>
        <v>26912</v>
      </c>
      <c r="DZ49" s="35">
        <f t="shared" si="11"/>
        <v>88212</v>
      </c>
      <c r="EA49" s="35"/>
      <c r="EB49" s="35"/>
      <c r="EC49" s="35"/>
      <c r="ED49" s="35">
        <v>25400</v>
      </c>
      <c r="EE49" s="35">
        <v>750</v>
      </c>
      <c r="EF49" s="35">
        <v>0</v>
      </c>
      <c r="EG49" s="35"/>
      <c r="EH49" s="35"/>
      <c r="EI49" s="35"/>
      <c r="EJ49" s="35"/>
      <c r="EK49" s="35"/>
      <c r="EL49" s="35"/>
      <c r="EM49" s="35">
        <f t="shared" si="12"/>
        <v>26150</v>
      </c>
      <c r="EN49" s="35"/>
      <c r="EO49" s="35"/>
      <c r="EP49" s="35"/>
      <c r="EQ49" s="35">
        <v>25400</v>
      </c>
      <c r="ER49" s="35">
        <v>750</v>
      </c>
      <c r="ES49" s="35">
        <v>0</v>
      </c>
      <c r="ET49" s="35"/>
      <c r="EU49" s="35"/>
      <c r="EV49" s="35"/>
      <c r="EW49" s="35"/>
      <c r="EX49" s="35"/>
      <c r="EY49" s="35"/>
      <c r="EZ49" s="35">
        <f t="shared" si="4"/>
        <v>26150</v>
      </c>
      <c r="FA49" s="35"/>
      <c r="FB49" s="35"/>
      <c r="FC49" s="35"/>
      <c r="FD49" s="35">
        <v>25400</v>
      </c>
      <c r="FE49" s="35">
        <v>750</v>
      </c>
      <c r="FF49" s="35">
        <v>0</v>
      </c>
      <c r="FG49" s="35"/>
      <c r="FH49" s="35"/>
      <c r="FI49" s="35"/>
      <c r="FJ49" s="35"/>
      <c r="FK49" s="35"/>
      <c r="FL49" s="35"/>
      <c r="FM49" s="35">
        <f t="shared" si="13"/>
        <v>26150</v>
      </c>
      <c r="FN49" s="35">
        <f t="shared" si="14"/>
        <v>78450</v>
      </c>
      <c r="FO49" s="35">
        <f t="shared" si="15"/>
        <v>320658</v>
      </c>
    </row>
    <row r="50" spans="1:171" x14ac:dyDescent="0.35">
      <c r="A50" s="34"/>
      <c r="B50" s="40"/>
      <c r="C50" s="58"/>
      <c r="D50" s="79" t="s">
        <v>156</v>
      </c>
      <c r="E50" s="40" t="s">
        <v>8</v>
      </c>
      <c r="F50" s="58" t="s">
        <v>17</v>
      </c>
      <c r="G50" s="58"/>
      <c r="H50" s="58"/>
      <c r="I50" s="58"/>
      <c r="J50" s="58"/>
      <c r="K50" s="35">
        <v>31590</v>
      </c>
      <c r="L50" s="35">
        <v>750</v>
      </c>
      <c r="M50" s="35">
        <v>948</v>
      </c>
      <c r="N50" s="35"/>
      <c r="O50" s="35"/>
      <c r="P50" s="35"/>
      <c r="Q50" s="35"/>
      <c r="R50" s="35"/>
      <c r="S50" s="35"/>
      <c r="T50" s="35"/>
      <c r="U50" s="35"/>
      <c r="V50" s="35"/>
      <c r="W50" s="35">
        <f t="shared" si="16"/>
        <v>33288</v>
      </c>
      <c r="X50" s="35">
        <v>31590</v>
      </c>
      <c r="Y50" s="35">
        <v>750</v>
      </c>
      <c r="Z50" s="35">
        <v>948</v>
      </c>
      <c r="AA50" s="35"/>
      <c r="AB50" s="35"/>
      <c r="AC50" s="35"/>
      <c r="AD50" s="35"/>
      <c r="AE50" s="35"/>
      <c r="AF50" s="35"/>
      <c r="AG50" s="35"/>
      <c r="AH50" s="35"/>
      <c r="AI50" s="35"/>
      <c r="AJ50" s="35">
        <f t="shared" si="56"/>
        <v>33288</v>
      </c>
      <c r="AK50" s="35">
        <v>31590</v>
      </c>
      <c r="AL50" s="35">
        <v>750</v>
      </c>
      <c r="AM50" s="35">
        <v>948</v>
      </c>
      <c r="AN50" s="35"/>
      <c r="AO50" s="35"/>
      <c r="AP50" s="35"/>
      <c r="AQ50" s="35"/>
      <c r="AR50" s="35"/>
      <c r="AS50" s="35"/>
      <c r="AT50" s="35"/>
      <c r="AU50" s="35"/>
      <c r="AV50" s="35"/>
      <c r="AW50" s="35">
        <f t="shared" si="1"/>
        <v>33288</v>
      </c>
      <c r="AX50" s="35">
        <f t="shared" si="2"/>
        <v>99864</v>
      </c>
      <c r="AY50" s="35">
        <v>31590</v>
      </c>
      <c r="AZ50" s="35">
        <v>750</v>
      </c>
      <c r="BA50" s="35">
        <v>948</v>
      </c>
      <c r="BB50" s="35"/>
      <c r="BC50" s="35"/>
      <c r="BD50" s="35"/>
      <c r="BE50" s="35"/>
      <c r="BF50" s="35"/>
      <c r="BG50" s="35"/>
      <c r="BH50" s="35"/>
      <c r="BI50" s="35"/>
      <c r="BJ50" s="35"/>
      <c r="BK50" s="35">
        <f t="shared" si="5"/>
        <v>33288</v>
      </c>
      <c r="BL50" s="35">
        <v>31590</v>
      </c>
      <c r="BM50" s="35">
        <v>750</v>
      </c>
      <c r="BN50" s="35">
        <v>948</v>
      </c>
      <c r="BO50" s="35"/>
      <c r="BP50" s="35"/>
      <c r="BQ50" s="35"/>
      <c r="BR50" s="35"/>
      <c r="BS50" s="35"/>
      <c r="BT50" s="35"/>
      <c r="BU50" s="35"/>
      <c r="BV50" s="35"/>
      <c r="BW50" s="35"/>
      <c r="BX50" s="35">
        <f t="shared" si="6"/>
        <v>33288</v>
      </c>
      <c r="BY50" s="35">
        <v>31590</v>
      </c>
      <c r="BZ50" s="35">
        <v>750</v>
      </c>
      <c r="CA50" s="35">
        <v>948</v>
      </c>
      <c r="CB50" s="35"/>
      <c r="CC50" s="35"/>
      <c r="CD50" s="35"/>
      <c r="CE50" s="35"/>
      <c r="CF50" s="35"/>
      <c r="CG50" s="35"/>
      <c r="CH50" s="35"/>
      <c r="CI50" s="35"/>
      <c r="CJ50" s="35"/>
      <c r="CK50" s="35">
        <f t="shared" si="7"/>
        <v>33288</v>
      </c>
      <c r="CL50" s="35">
        <f t="shared" si="8"/>
        <v>99864</v>
      </c>
      <c r="CM50" s="35">
        <v>33170</v>
      </c>
      <c r="CN50" s="35">
        <v>750</v>
      </c>
      <c r="CO50" s="35">
        <v>995</v>
      </c>
      <c r="CP50" s="35"/>
      <c r="CQ50" s="35"/>
      <c r="CR50" s="35"/>
      <c r="CS50" s="35"/>
      <c r="CT50" s="35"/>
      <c r="CU50" s="35"/>
      <c r="CV50" s="35"/>
      <c r="CW50" s="35"/>
      <c r="CX50" s="35"/>
      <c r="CY50" s="35">
        <f t="shared" si="9"/>
        <v>34915</v>
      </c>
      <c r="CZ50" s="35">
        <f>9480+33170</f>
        <v>42650</v>
      </c>
      <c r="DA50" s="35">
        <v>750</v>
      </c>
      <c r="DB50" s="35">
        <f>282+995</f>
        <v>1277</v>
      </c>
      <c r="DC50" s="35"/>
      <c r="DD50" s="35"/>
      <c r="DE50" s="35"/>
      <c r="DF50" s="35"/>
      <c r="DG50" s="35"/>
      <c r="DH50" s="35"/>
      <c r="DI50" s="35"/>
      <c r="DJ50" s="35"/>
      <c r="DK50" s="35"/>
      <c r="DL50" s="35">
        <f t="shared" si="3"/>
        <v>44677</v>
      </c>
      <c r="DM50" s="35">
        <v>33170</v>
      </c>
      <c r="DN50" s="35">
        <v>750</v>
      </c>
      <c r="DO50" s="35">
        <v>995</v>
      </c>
      <c r="DP50" s="35"/>
      <c r="DQ50" s="35"/>
      <c r="DR50" s="35"/>
      <c r="DS50" s="35"/>
      <c r="DT50" s="35"/>
      <c r="DU50" s="35"/>
      <c r="DV50" s="35"/>
      <c r="DW50" s="35"/>
      <c r="DX50" s="35"/>
      <c r="DY50" s="35">
        <f t="shared" si="10"/>
        <v>34915</v>
      </c>
      <c r="DZ50" s="35">
        <f t="shared" si="11"/>
        <v>114507</v>
      </c>
      <c r="EA50" s="35">
        <v>33170</v>
      </c>
      <c r="EB50" s="35">
        <v>750</v>
      </c>
      <c r="EC50" s="35">
        <v>995</v>
      </c>
      <c r="ED50" s="35"/>
      <c r="EE50" s="35"/>
      <c r="EF50" s="35"/>
      <c r="EG50" s="35"/>
      <c r="EH50" s="35"/>
      <c r="EI50" s="35"/>
      <c r="EJ50" s="35"/>
      <c r="EK50" s="35"/>
      <c r="EL50" s="35"/>
      <c r="EM50" s="35">
        <f t="shared" si="12"/>
        <v>34915</v>
      </c>
      <c r="EN50" s="35">
        <v>33170</v>
      </c>
      <c r="EO50" s="35">
        <v>750</v>
      </c>
      <c r="EP50" s="35">
        <v>995</v>
      </c>
      <c r="EQ50" s="35"/>
      <c r="ER50" s="35"/>
      <c r="ES50" s="35"/>
      <c r="ET50" s="35"/>
      <c r="EU50" s="35"/>
      <c r="EV50" s="35"/>
      <c r="EW50" s="35"/>
      <c r="EX50" s="35"/>
      <c r="EY50" s="35"/>
      <c r="EZ50" s="35">
        <f t="shared" si="4"/>
        <v>34915</v>
      </c>
      <c r="FA50" s="35">
        <v>33170</v>
      </c>
      <c r="FB50" s="35">
        <v>750</v>
      </c>
      <c r="FC50" s="35">
        <v>995</v>
      </c>
      <c r="FD50" s="35"/>
      <c r="FE50" s="35"/>
      <c r="FF50" s="35"/>
      <c r="FG50" s="35"/>
      <c r="FH50" s="35"/>
      <c r="FI50" s="35"/>
      <c r="FJ50" s="35"/>
      <c r="FK50" s="35"/>
      <c r="FL50" s="35"/>
      <c r="FM50" s="35">
        <f t="shared" si="13"/>
        <v>34915</v>
      </c>
      <c r="FN50" s="35">
        <f t="shared" si="14"/>
        <v>104745</v>
      </c>
      <c r="FO50" s="35">
        <f t="shared" si="15"/>
        <v>418980</v>
      </c>
    </row>
    <row r="51" spans="1:171" x14ac:dyDescent="0.35">
      <c r="A51" s="34"/>
      <c r="B51" s="40"/>
      <c r="C51" s="58"/>
      <c r="D51" s="79" t="s">
        <v>157</v>
      </c>
      <c r="E51" s="58" t="s">
        <v>9</v>
      </c>
      <c r="F51" s="58" t="s">
        <v>17</v>
      </c>
      <c r="G51" s="58"/>
      <c r="H51" s="58"/>
      <c r="I51" s="58"/>
      <c r="J51" s="58"/>
      <c r="K51" s="35"/>
      <c r="L51" s="35"/>
      <c r="M51" s="35"/>
      <c r="N51" s="35">
        <v>23950</v>
      </c>
      <c r="O51" s="35">
        <v>750</v>
      </c>
      <c r="P51" s="35">
        <v>0</v>
      </c>
      <c r="Q51" s="35"/>
      <c r="R51" s="35"/>
      <c r="S51" s="35"/>
      <c r="T51" s="35"/>
      <c r="U51" s="35"/>
      <c r="V51" s="35"/>
      <c r="W51" s="35">
        <f t="shared" si="16"/>
        <v>24700</v>
      </c>
      <c r="X51" s="35"/>
      <c r="Y51" s="35"/>
      <c r="Z51" s="35"/>
      <c r="AA51" s="35">
        <v>23950</v>
      </c>
      <c r="AB51" s="35">
        <v>750</v>
      </c>
      <c r="AC51" s="35">
        <v>0</v>
      </c>
      <c r="AD51" s="35"/>
      <c r="AE51" s="35"/>
      <c r="AF51" s="35"/>
      <c r="AG51" s="35"/>
      <c r="AH51" s="35"/>
      <c r="AI51" s="35"/>
      <c r="AJ51" s="35">
        <f t="shared" si="56"/>
        <v>24700</v>
      </c>
      <c r="AK51" s="35"/>
      <c r="AL51" s="35"/>
      <c r="AM51" s="35"/>
      <c r="AN51" s="35">
        <v>23950</v>
      </c>
      <c r="AO51" s="35">
        <v>750</v>
      </c>
      <c r="AP51" s="35">
        <v>0</v>
      </c>
      <c r="AQ51" s="35"/>
      <c r="AR51" s="35"/>
      <c r="AS51" s="35"/>
      <c r="AT51" s="35"/>
      <c r="AU51" s="35"/>
      <c r="AV51" s="35"/>
      <c r="AW51" s="35">
        <f t="shared" si="1"/>
        <v>24700</v>
      </c>
      <c r="AX51" s="35">
        <f t="shared" si="2"/>
        <v>74100</v>
      </c>
      <c r="AY51" s="35"/>
      <c r="AZ51" s="35"/>
      <c r="BA51" s="35"/>
      <c r="BB51" s="35">
        <v>23950</v>
      </c>
      <c r="BC51" s="35">
        <v>750</v>
      </c>
      <c r="BD51" s="35">
        <v>0</v>
      </c>
      <c r="BE51" s="35"/>
      <c r="BF51" s="35"/>
      <c r="BG51" s="35"/>
      <c r="BH51" s="35"/>
      <c r="BI51" s="35"/>
      <c r="BJ51" s="35"/>
      <c r="BK51" s="35">
        <f t="shared" si="5"/>
        <v>24700</v>
      </c>
      <c r="BL51" s="35"/>
      <c r="BM51" s="35"/>
      <c r="BN51" s="35"/>
      <c r="BO51" s="35">
        <v>23950</v>
      </c>
      <c r="BP51" s="35">
        <v>750</v>
      </c>
      <c r="BQ51" s="35">
        <v>0</v>
      </c>
      <c r="BR51" s="35"/>
      <c r="BS51" s="35"/>
      <c r="BT51" s="35"/>
      <c r="BU51" s="35"/>
      <c r="BV51" s="35"/>
      <c r="BW51" s="35"/>
      <c r="BX51" s="35">
        <f t="shared" si="6"/>
        <v>24700</v>
      </c>
      <c r="BY51" s="35"/>
      <c r="BZ51" s="35"/>
      <c r="CA51" s="35"/>
      <c r="CB51" s="35">
        <v>23950</v>
      </c>
      <c r="CC51" s="35">
        <v>750</v>
      </c>
      <c r="CD51" s="35">
        <v>0</v>
      </c>
      <c r="CE51" s="35"/>
      <c r="CF51" s="35"/>
      <c r="CG51" s="35"/>
      <c r="CH51" s="35"/>
      <c r="CI51" s="35"/>
      <c r="CJ51" s="35"/>
      <c r="CK51" s="35">
        <f t="shared" si="7"/>
        <v>24700</v>
      </c>
      <c r="CL51" s="35">
        <f t="shared" si="8"/>
        <v>74100</v>
      </c>
      <c r="CM51" s="35"/>
      <c r="CN51" s="35"/>
      <c r="CO51" s="35"/>
      <c r="CP51" s="35">
        <v>25150</v>
      </c>
      <c r="CQ51" s="35">
        <v>750</v>
      </c>
      <c r="CR51" s="35">
        <v>0</v>
      </c>
      <c r="CS51" s="35"/>
      <c r="CT51" s="35"/>
      <c r="CU51" s="35"/>
      <c r="CV51" s="35"/>
      <c r="CW51" s="35"/>
      <c r="CX51" s="35"/>
      <c r="CY51" s="35">
        <f t="shared" si="9"/>
        <v>25900</v>
      </c>
      <c r="CZ51" s="35"/>
      <c r="DA51" s="35"/>
      <c r="DB51" s="35"/>
      <c r="DC51" s="35">
        <f>7200+25150</f>
        <v>32350</v>
      </c>
      <c r="DD51" s="35">
        <v>750</v>
      </c>
      <c r="DE51" s="35">
        <v>0</v>
      </c>
      <c r="DF51" s="35"/>
      <c r="DG51" s="35"/>
      <c r="DH51" s="35"/>
      <c r="DI51" s="35"/>
      <c r="DJ51" s="35"/>
      <c r="DK51" s="35"/>
      <c r="DL51" s="35">
        <f t="shared" si="3"/>
        <v>33100</v>
      </c>
      <c r="DM51" s="35"/>
      <c r="DN51" s="35"/>
      <c r="DO51" s="35"/>
      <c r="DP51" s="35">
        <v>25150</v>
      </c>
      <c r="DQ51" s="35">
        <v>750</v>
      </c>
      <c r="DR51" s="35">
        <v>0</v>
      </c>
      <c r="DS51" s="35"/>
      <c r="DT51" s="35"/>
      <c r="DU51" s="35"/>
      <c r="DV51" s="35"/>
      <c r="DW51" s="35"/>
      <c r="DX51" s="35"/>
      <c r="DY51" s="35">
        <f t="shared" si="10"/>
        <v>25900</v>
      </c>
      <c r="DZ51" s="35">
        <f t="shared" si="11"/>
        <v>84900</v>
      </c>
      <c r="EA51" s="35"/>
      <c r="EB51" s="35"/>
      <c r="EC51" s="35"/>
      <c r="ED51" s="35">
        <v>25150</v>
      </c>
      <c r="EE51" s="35">
        <v>750</v>
      </c>
      <c r="EF51" s="35">
        <v>0</v>
      </c>
      <c r="EG51" s="35"/>
      <c r="EH51" s="35"/>
      <c r="EI51" s="35"/>
      <c r="EJ51" s="35"/>
      <c r="EK51" s="35"/>
      <c r="EL51" s="35"/>
      <c r="EM51" s="35">
        <f t="shared" si="12"/>
        <v>25900</v>
      </c>
      <c r="EN51" s="35"/>
      <c r="EO51" s="35"/>
      <c r="EP51" s="35"/>
      <c r="EQ51" s="35">
        <v>25150</v>
      </c>
      <c r="ER51" s="35">
        <v>750</v>
      </c>
      <c r="ES51" s="35">
        <v>0</v>
      </c>
      <c r="ET51" s="35"/>
      <c r="EU51" s="35"/>
      <c r="EV51" s="35"/>
      <c r="EW51" s="35"/>
      <c r="EX51" s="35"/>
      <c r="EY51" s="35"/>
      <c r="EZ51" s="35">
        <f t="shared" si="4"/>
        <v>25900</v>
      </c>
      <c r="FA51" s="35"/>
      <c r="FB51" s="35"/>
      <c r="FC51" s="35"/>
      <c r="FD51" s="35">
        <v>25150</v>
      </c>
      <c r="FE51" s="35">
        <v>750</v>
      </c>
      <c r="FF51" s="35">
        <v>0</v>
      </c>
      <c r="FG51" s="35"/>
      <c r="FH51" s="35"/>
      <c r="FI51" s="35"/>
      <c r="FJ51" s="35"/>
      <c r="FK51" s="35"/>
      <c r="FL51" s="35"/>
      <c r="FM51" s="35">
        <f t="shared" si="13"/>
        <v>25900</v>
      </c>
      <c r="FN51" s="35">
        <f t="shared" si="14"/>
        <v>77700</v>
      </c>
      <c r="FO51" s="35">
        <f t="shared" si="15"/>
        <v>310800</v>
      </c>
    </row>
    <row r="52" spans="1:171" x14ac:dyDescent="0.35">
      <c r="A52" s="34"/>
      <c r="B52" s="40"/>
      <c r="C52" s="58"/>
      <c r="D52" s="79" t="s">
        <v>158</v>
      </c>
      <c r="E52" s="40" t="s">
        <v>8</v>
      </c>
      <c r="F52" s="58" t="s">
        <v>17</v>
      </c>
      <c r="G52" s="58"/>
      <c r="H52" s="58"/>
      <c r="I52" s="58"/>
      <c r="J52" s="58"/>
      <c r="K52" s="35">
        <v>31590</v>
      </c>
      <c r="L52" s="35">
        <v>750</v>
      </c>
      <c r="M52" s="35">
        <v>948</v>
      </c>
      <c r="N52" s="35"/>
      <c r="O52" s="35"/>
      <c r="P52" s="35"/>
      <c r="Q52" s="35"/>
      <c r="R52" s="35"/>
      <c r="S52" s="35"/>
      <c r="T52" s="35"/>
      <c r="U52" s="35"/>
      <c r="V52" s="35"/>
      <c r="W52" s="35">
        <f t="shared" si="16"/>
        <v>33288</v>
      </c>
      <c r="X52" s="35">
        <v>31590</v>
      </c>
      <c r="Y52" s="35">
        <v>750</v>
      </c>
      <c r="Z52" s="35">
        <v>948</v>
      </c>
      <c r="AA52" s="35"/>
      <c r="AB52" s="35"/>
      <c r="AC52" s="35"/>
      <c r="AD52" s="35"/>
      <c r="AE52" s="35"/>
      <c r="AF52" s="35"/>
      <c r="AG52" s="35"/>
      <c r="AH52" s="35"/>
      <c r="AI52" s="35"/>
      <c r="AJ52" s="35">
        <f t="shared" si="56"/>
        <v>33288</v>
      </c>
      <c r="AK52" s="35">
        <v>31590</v>
      </c>
      <c r="AL52" s="35">
        <v>750</v>
      </c>
      <c r="AM52" s="35">
        <v>948</v>
      </c>
      <c r="AN52" s="35"/>
      <c r="AO52" s="35"/>
      <c r="AP52" s="35"/>
      <c r="AQ52" s="35"/>
      <c r="AR52" s="35"/>
      <c r="AS52" s="35"/>
      <c r="AT52" s="35"/>
      <c r="AU52" s="35"/>
      <c r="AV52" s="35"/>
      <c r="AW52" s="35">
        <f t="shared" si="1"/>
        <v>33288</v>
      </c>
      <c r="AX52" s="35">
        <f t="shared" si="2"/>
        <v>99864</v>
      </c>
      <c r="AY52" s="35">
        <v>31590</v>
      </c>
      <c r="AZ52" s="35">
        <v>750</v>
      </c>
      <c r="BA52" s="35">
        <v>948</v>
      </c>
      <c r="BB52" s="35"/>
      <c r="BC52" s="35"/>
      <c r="BD52" s="35"/>
      <c r="BE52" s="35"/>
      <c r="BF52" s="35"/>
      <c r="BG52" s="35"/>
      <c r="BH52" s="35"/>
      <c r="BI52" s="35"/>
      <c r="BJ52" s="35"/>
      <c r="BK52" s="35">
        <f t="shared" si="5"/>
        <v>33288</v>
      </c>
      <c r="BL52" s="35">
        <v>31590</v>
      </c>
      <c r="BM52" s="35">
        <v>750</v>
      </c>
      <c r="BN52" s="35">
        <v>948</v>
      </c>
      <c r="BO52" s="35"/>
      <c r="BP52" s="35"/>
      <c r="BQ52" s="35"/>
      <c r="BR52" s="35"/>
      <c r="BS52" s="35"/>
      <c r="BT52" s="35"/>
      <c r="BU52" s="35"/>
      <c r="BV52" s="35"/>
      <c r="BW52" s="35"/>
      <c r="BX52" s="35">
        <f t="shared" si="6"/>
        <v>33288</v>
      </c>
      <c r="BY52" s="35">
        <v>31590</v>
      </c>
      <c r="BZ52" s="35">
        <v>750</v>
      </c>
      <c r="CA52" s="35">
        <v>948</v>
      </c>
      <c r="CB52" s="35"/>
      <c r="CC52" s="35"/>
      <c r="CD52" s="35"/>
      <c r="CE52" s="35"/>
      <c r="CF52" s="35"/>
      <c r="CG52" s="35"/>
      <c r="CH52" s="35"/>
      <c r="CI52" s="35"/>
      <c r="CJ52" s="35"/>
      <c r="CK52" s="35">
        <f t="shared" si="7"/>
        <v>33288</v>
      </c>
      <c r="CL52" s="35">
        <f t="shared" si="8"/>
        <v>99864</v>
      </c>
      <c r="CM52" s="35">
        <v>33170</v>
      </c>
      <c r="CN52" s="35">
        <v>750</v>
      </c>
      <c r="CO52" s="35">
        <v>995</v>
      </c>
      <c r="CP52" s="35"/>
      <c r="CQ52" s="35"/>
      <c r="CR52" s="35"/>
      <c r="CS52" s="35"/>
      <c r="CT52" s="35"/>
      <c r="CU52" s="35"/>
      <c r="CV52" s="35"/>
      <c r="CW52" s="35"/>
      <c r="CX52" s="35"/>
      <c r="CY52" s="35">
        <f t="shared" si="9"/>
        <v>34915</v>
      </c>
      <c r="CZ52" s="35">
        <f>9480+33170</f>
        <v>42650</v>
      </c>
      <c r="DA52" s="35">
        <v>750</v>
      </c>
      <c r="DB52" s="35">
        <f>282+995</f>
        <v>1277</v>
      </c>
      <c r="DC52" s="35"/>
      <c r="DD52" s="35"/>
      <c r="DE52" s="35"/>
      <c r="DF52" s="35"/>
      <c r="DG52" s="35"/>
      <c r="DH52" s="35"/>
      <c r="DI52" s="35"/>
      <c r="DJ52" s="35"/>
      <c r="DK52" s="35"/>
      <c r="DL52" s="35">
        <f t="shared" si="3"/>
        <v>44677</v>
      </c>
      <c r="DM52" s="35">
        <v>33170</v>
      </c>
      <c r="DN52" s="35">
        <v>750</v>
      </c>
      <c r="DO52" s="35">
        <v>995</v>
      </c>
      <c r="DP52" s="35"/>
      <c r="DQ52" s="35"/>
      <c r="DR52" s="35"/>
      <c r="DS52" s="35"/>
      <c r="DT52" s="35"/>
      <c r="DU52" s="35"/>
      <c r="DV52" s="35"/>
      <c r="DW52" s="35"/>
      <c r="DX52" s="35"/>
      <c r="DY52" s="35">
        <f t="shared" si="10"/>
        <v>34915</v>
      </c>
      <c r="DZ52" s="35">
        <f t="shared" si="11"/>
        <v>114507</v>
      </c>
      <c r="EA52" s="35">
        <v>33170</v>
      </c>
      <c r="EB52" s="35">
        <v>750</v>
      </c>
      <c r="EC52" s="35">
        <v>995</v>
      </c>
      <c r="ED52" s="35"/>
      <c r="EE52" s="35"/>
      <c r="EF52" s="35"/>
      <c r="EG52" s="35"/>
      <c r="EH52" s="35"/>
      <c r="EI52" s="35"/>
      <c r="EJ52" s="35"/>
      <c r="EK52" s="35"/>
      <c r="EL52" s="35"/>
      <c r="EM52" s="35">
        <f t="shared" si="12"/>
        <v>34915</v>
      </c>
      <c r="EN52" s="35">
        <v>33170</v>
      </c>
      <c r="EO52" s="35">
        <v>750</v>
      </c>
      <c r="EP52" s="35">
        <v>995</v>
      </c>
      <c r="EQ52" s="35"/>
      <c r="ER52" s="35"/>
      <c r="ES52" s="35"/>
      <c r="ET52" s="35"/>
      <c r="EU52" s="35"/>
      <c r="EV52" s="35"/>
      <c r="EW52" s="35"/>
      <c r="EX52" s="35"/>
      <c r="EY52" s="35"/>
      <c r="EZ52" s="35">
        <f t="shared" si="4"/>
        <v>34915</v>
      </c>
      <c r="FA52" s="35">
        <v>33170</v>
      </c>
      <c r="FB52" s="35">
        <v>750</v>
      </c>
      <c r="FC52" s="35">
        <v>995</v>
      </c>
      <c r="FD52" s="35"/>
      <c r="FE52" s="35"/>
      <c r="FF52" s="35"/>
      <c r="FG52" s="35"/>
      <c r="FH52" s="35"/>
      <c r="FI52" s="35"/>
      <c r="FJ52" s="35"/>
      <c r="FK52" s="35"/>
      <c r="FL52" s="35"/>
      <c r="FM52" s="35">
        <f t="shared" si="13"/>
        <v>34915</v>
      </c>
      <c r="FN52" s="35">
        <f t="shared" si="14"/>
        <v>104745</v>
      </c>
      <c r="FO52" s="35">
        <f t="shared" si="15"/>
        <v>418980</v>
      </c>
    </row>
    <row r="53" spans="1:171" x14ac:dyDescent="0.35">
      <c r="A53" s="34"/>
      <c r="B53" s="40"/>
      <c r="C53" s="58"/>
      <c r="D53" s="79" t="s">
        <v>159</v>
      </c>
      <c r="E53" s="40" t="s">
        <v>8</v>
      </c>
      <c r="F53" s="58" t="s">
        <v>17</v>
      </c>
      <c r="G53" s="58"/>
      <c r="H53" s="58"/>
      <c r="I53" s="58"/>
      <c r="J53" s="58"/>
      <c r="K53" s="35">
        <v>31480</v>
      </c>
      <c r="L53" s="35">
        <v>750</v>
      </c>
      <c r="M53" s="35">
        <v>944</v>
      </c>
      <c r="N53" s="35"/>
      <c r="O53" s="35"/>
      <c r="P53" s="35"/>
      <c r="Q53" s="35"/>
      <c r="R53" s="35"/>
      <c r="S53" s="35"/>
      <c r="T53" s="35"/>
      <c r="U53" s="35"/>
      <c r="V53" s="35"/>
      <c r="W53" s="35">
        <f t="shared" si="16"/>
        <v>33174</v>
      </c>
      <c r="X53" s="35">
        <v>31480</v>
      </c>
      <c r="Y53" s="35">
        <v>750</v>
      </c>
      <c r="Z53" s="35">
        <v>944</v>
      </c>
      <c r="AA53" s="35"/>
      <c r="AB53" s="35"/>
      <c r="AC53" s="35"/>
      <c r="AD53" s="35"/>
      <c r="AE53" s="35"/>
      <c r="AF53" s="35"/>
      <c r="AG53" s="35"/>
      <c r="AH53" s="35"/>
      <c r="AI53" s="35"/>
      <c r="AJ53" s="35">
        <f t="shared" si="56"/>
        <v>33174</v>
      </c>
      <c r="AK53" s="35">
        <v>31480</v>
      </c>
      <c r="AL53" s="35">
        <v>750</v>
      </c>
      <c r="AM53" s="35">
        <v>944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>
        <f t="shared" si="1"/>
        <v>33174</v>
      </c>
      <c r="AX53" s="35">
        <f t="shared" si="2"/>
        <v>99522</v>
      </c>
      <c r="AY53" s="35">
        <v>31480</v>
      </c>
      <c r="AZ53" s="35">
        <v>750</v>
      </c>
      <c r="BA53" s="35">
        <v>944</v>
      </c>
      <c r="BB53" s="35"/>
      <c r="BC53" s="35"/>
      <c r="BD53" s="35"/>
      <c r="BE53" s="35"/>
      <c r="BF53" s="35"/>
      <c r="BG53" s="35"/>
      <c r="BH53" s="35"/>
      <c r="BI53" s="35"/>
      <c r="BJ53" s="35"/>
      <c r="BK53" s="35">
        <f t="shared" si="5"/>
        <v>33174</v>
      </c>
      <c r="BL53" s="35">
        <v>31480</v>
      </c>
      <c r="BM53" s="35">
        <v>750</v>
      </c>
      <c r="BN53" s="35">
        <v>944</v>
      </c>
      <c r="BO53" s="35"/>
      <c r="BP53" s="35"/>
      <c r="BQ53" s="35"/>
      <c r="BR53" s="35"/>
      <c r="BS53" s="35"/>
      <c r="BT53" s="35"/>
      <c r="BU53" s="35"/>
      <c r="BV53" s="35"/>
      <c r="BW53" s="35"/>
      <c r="BX53" s="35">
        <f t="shared" si="6"/>
        <v>33174</v>
      </c>
      <c r="BY53" s="35">
        <v>31480</v>
      </c>
      <c r="BZ53" s="35">
        <v>750</v>
      </c>
      <c r="CA53" s="35">
        <v>944</v>
      </c>
      <c r="CB53" s="35"/>
      <c r="CC53" s="35"/>
      <c r="CD53" s="35"/>
      <c r="CE53" s="35"/>
      <c r="CF53" s="35"/>
      <c r="CG53" s="35"/>
      <c r="CH53" s="35"/>
      <c r="CI53" s="35"/>
      <c r="CJ53" s="35"/>
      <c r="CK53" s="35">
        <f t="shared" si="7"/>
        <v>33174</v>
      </c>
      <c r="CL53" s="35">
        <f t="shared" si="8"/>
        <v>99522</v>
      </c>
      <c r="CM53" s="35">
        <v>32740</v>
      </c>
      <c r="CN53" s="35">
        <v>750</v>
      </c>
      <c r="CO53" s="35">
        <v>982</v>
      </c>
      <c r="CP53" s="35"/>
      <c r="CQ53" s="35"/>
      <c r="CR53" s="35"/>
      <c r="CS53" s="35"/>
      <c r="CT53" s="35"/>
      <c r="CU53" s="35"/>
      <c r="CV53" s="35"/>
      <c r="CW53" s="35"/>
      <c r="CX53" s="35"/>
      <c r="CY53" s="35">
        <f t="shared" si="9"/>
        <v>34472</v>
      </c>
      <c r="CZ53" s="35">
        <f>7560+32740</f>
        <v>40300</v>
      </c>
      <c r="DA53" s="35">
        <v>750</v>
      </c>
      <c r="DB53" s="35">
        <f>228+982</f>
        <v>1210</v>
      </c>
      <c r="DC53" s="35"/>
      <c r="DD53" s="35"/>
      <c r="DE53" s="35"/>
      <c r="DF53" s="35"/>
      <c r="DG53" s="35"/>
      <c r="DH53" s="35"/>
      <c r="DI53" s="35"/>
      <c r="DJ53" s="35"/>
      <c r="DK53" s="35"/>
      <c r="DL53" s="35">
        <f t="shared" si="3"/>
        <v>42260</v>
      </c>
      <c r="DM53" s="35">
        <v>32740</v>
      </c>
      <c r="DN53" s="35">
        <v>750</v>
      </c>
      <c r="DO53" s="35">
        <v>982</v>
      </c>
      <c r="DP53" s="35"/>
      <c r="DQ53" s="35"/>
      <c r="DR53" s="35"/>
      <c r="DS53" s="35"/>
      <c r="DT53" s="35"/>
      <c r="DU53" s="35"/>
      <c r="DV53" s="35"/>
      <c r="DW53" s="35"/>
      <c r="DX53" s="35"/>
      <c r="DY53" s="35">
        <f t="shared" si="10"/>
        <v>34472</v>
      </c>
      <c r="DZ53" s="35">
        <f t="shared" si="11"/>
        <v>111204</v>
      </c>
      <c r="EA53" s="35">
        <v>32740</v>
      </c>
      <c r="EB53" s="35">
        <v>750</v>
      </c>
      <c r="EC53" s="35">
        <v>982</v>
      </c>
      <c r="ED53" s="35"/>
      <c r="EE53" s="35"/>
      <c r="EF53" s="35"/>
      <c r="EG53" s="35"/>
      <c r="EH53" s="35"/>
      <c r="EI53" s="35"/>
      <c r="EJ53" s="35"/>
      <c r="EK53" s="35"/>
      <c r="EL53" s="35"/>
      <c r="EM53" s="35">
        <f t="shared" si="12"/>
        <v>34472</v>
      </c>
      <c r="EN53" s="35">
        <v>32740</v>
      </c>
      <c r="EO53" s="35">
        <v>750</v>
      </c>
      <c r="EP53" s="35">
        <v>982</v>
      </c>
      <c r="EQ53" s="35"/>
      <c r="ER53" s="35"/>
      <c r="ES53" s="35"/>
      <c r="ET53" s="35"/>
      <c r="EU53" s="35"/>
      <c r="EV53" s="35"/>
      <c r="EW53" s="35"/>
      <c r="EX53" s="35"/>
      <c r="EY53" s="35"/>
      <c r="EZ53" s="35">
        <f t="shared" si="4"/>
        <v>34472</v>
      </c>
      <c r="FA53" s="35">
        <v>32740</v>
      </c>
      <c r="FB53" s="35">
        <v>750</v>
      </c>
      <c r="FC53" s="35">
        <v>982</v>
      </c>
      <c r="FD53" s="35"/>
      <c r="FE53" s="35"/>
      <c r="FF53" s="35"/>
      <c r="FG53" s="35"/>
      <c r="FH53" s="35"/>
      <c r="FI53" s="35"/>
      <c r="FJ53" s="35"/>
      <c r="FK53" s="35"/>
      <c r="FL53" s="35"/>
      <c r="FM53" s="35">
        <f t="shared" si="13"/>
        <v>34472</v>
      </c>
      <c r="FN53" s="35">
        <f t="shared" si="14"/>
        <v>103416</v>
      </c>
      <c r="FO53" s="35">
        <f t="shared" si="15"/>
        <v>413664</v>
      </c>
    </row>
    <row r="54" spans="1:171" x14ac:dyDescent="0.35">
      <c r="A54" s="34"/>
      <c r="B54" s="40"/>
      <c r="C54" s="58"/>
      <c r="D54" s="79" t="s">
        <v>160</v>
      </c>
      <c r="E54" s="40" t="s">
        <v>8</v>
      </c>
      <c r="F54" s="58" t="s">
        <v>17</v>
      </c>
      <c r="G54" s="58"/>
      <c r="H54" s="58"/>
      <c r="I54" s="58"/>
      <c r="J54" s="58"/>
      <c r="K54" s="35">
        <v>29850</v>
      </c>
      <c r="L54" s="35">
        <v>750</v>
      </c>
      <c r="M54" s="35">
        <v>896</v>
      </c>
      <c r="N54" s="35"/>
      <c r="O54" s="35"/>
      <c r="P54" s="35"/>
      <c r="Q54" s="35"/>
      <c r="R54" s="35"/>
      <c r="S54" s="35"/>
      <c r="T54" s="35"/>
      <c r="U54" s="35"/>
      <c r="V54" s="35"/>
      <c r="W54" s="35">
        <f t="shared" si="16"/>
        <v>31496</v>
      </c>
      <c r="X54" s="35">
        <v>29850</v>
      </c>
      <c r="Y54" s="35">
        <v>750</v>
      </c>
      <c r="Z54" s="35">
        <v>896</v>
      </c>
      <c r="AA54" s="35"/>
      <c r="AB54" s="35"/>
      <c r="AC54" s="35"/>
      <c r="AD54" s="35"/>
      <c r="AE54" s="35"/>
      <c r="AF54" s="35"/>
      <c r="AG54" s="35"/>
      <c r="AH54" s="35"/>
      <c r="AI54" s="35"/>
      <c r="AJ54" s="35">
        <f t="shared" si="56"/>
        <v>31496</v>
      </c>
      <c r="AK54" s="35">
        <v>29850</v>
      </c>
      <c r="AL54" s="35">
        <v>750</v>
      </c>
      <c r="AM54" s="35">
        <v>896</v>
      </c>
      <c r="AN54" s="35"/>
      <c r="AO54" s="35"/>
      <c r="AP54" s="35"/>
      <c r="AQ54" s="35"/>
      <c r="AR54" s="35"/>
      <c r="AS54" s="35"/>
      <c r="AT54" s="35"/>
      <c r="AU54" s="35"/>
      <c r="AV54" s="35"/>
      <c r="AW54" s="35">
        <f t="shared" si="1"/>
        <v>31496</v>
      </c>
      <c r="AX54" s="35">
        <f t="shared" si="2"/>
        <v>94488</v>
      </c>
      <c r="AY54" s="35">
        <v>29850</v>
      </c>
      <c r="AZ54" s="35">
        <v>750</v>
      </c>
      <c r="BA54" s="35">
        <v>896</v>
      </c>
      <c r="BB54" s="35"/>
      <c r="BC54" s="35"/>
      <c r="BD54" s="35"/>
      <c r="BE54" s="35"/>
      <c r="BF54" s="35"/>
      <c r="BG54" s="35"/>
      <c r="BH54" s="35"/>
      <c r="BI54" s="35"/>
      <c r="BJ54" s="35"/>
      <c r="BK54" s="35">
        <f t="shared" si="5"/>
        <v>31496</v>
      </c>
      <c r="BL54" s="35">
        <v>29850</v>
      </c>
      <c r="BM54" s="35">
        <v>750</v>
      </c>
      <c r="BN54" s="35">
        <v>896</v>
      </c>
      <c r="BO54" s="35"/>
      <c r="BP54" s="35"/>
      <c r="BQ54" s="35"/>
      <c r="BR54" s="35"/>
      <c r="BS54" s="35"/>
      <c r="BT54" s="35"/>
      <c r="BU54" s="35"/>
      <c r="BV54" s="35"/>
      <c r="BW54" s="35"/>
      <c r="BX54" s="35">
        <f t="shared" si="6"/>
        <v>31496</v>
      </c>
      <c r="BY54" s="35">
        <v>29850</v>
      </c>
      <c r="BZ54" s="35">
        <v>750</v>
      </c>
      <c r="CA54" s="35">
        <v>896</v>
      </c>
      <c r="CB54" s="35"/>
      <c r="CC54" s="35"/>
      <c r="CD54" s="35"/>
      <c r="CE54" s="35"/>
      <c r="CF54" s="35"/>
      <c r="CG54" s="35"/>
      <c r="CH54" s="35"/>
      <c r="CI54" s="35"/>
      <c r="CJ54" s="35"/>
      <c r="CK54" s="35">
        <f t="shared" si="7"/>
        <v>31496</v>
      </c>
      <c r="CL54" s="35">
        <f t="shared" si="8"/>
        <v>94488</v>
      </c>
      <c r="CM54" s="35">
        <v>31350</v>
      </c>
      <c r="CN54" s="35">
        <v>750</v>
      </c>
      <c r="CO54" s="35">
        <v>941</v>
      </c>
      <c r="CP54" s="35"/>
      <c r="CQ54" s="35"/>
      <c r="CR54" s="35"/>
      <c r="CS54" s="35"/>
      <c r="CT54" s="35"/>
      <c r="CU54" s="35"/>
      <c r="CV54" s="35"/>
      <c r="CW54" s="35"/>
      <c r="CX54" s="35"/>
      <c r="CY54" s="35">
        <f t="shared" si="9"/>
        <v>33041</v>
      </c>
      <c r="CZ54" s="35">
        <f>9000+31350</f>
        <v>40350</v>
      </c>
      <c r="DA54" s="35">
        <v>750</v>
      </c>
      <c r="DB54" s="35">
        <f>270+941</f>
        <v>1211</v>
      </c>
      <c r="DC54" s="35"/>
      <c r="DD54" s="35"/>
      <c r="DE54" s="35"/>
      <c r="DF54" s="35"/>
      <c r="DG54" s="35"/>
      <c r="DH54" s="35"/>
      <c r="DI54" s="35"/>
      <c r="DJ54" s="35"/>
      <c r="DK54" s="35"/>
      <c r="DL54" s="35">
        <f t="shared" si="3"/>
        <v>42311</v>
      </c>
      <c r="DM54" s="35">
        <v>31350</v>
      </c>
      <c r="DN54" s="35">
        <v>750</v>
      </c>
      <c r="DO54" s="35">
        <v>941</v>
      </c>
      <c r="DP54" s="35"/>
      <c r="DQ54" s="35"/>
      <c r="DR54" s="35"/>
      <c r="DS54" s="35"/>
      <c r="DT54" s="35"/>
      <c r="DU54" s="35"/>
      <c r="DV54" s="35"/>
      <c r="DW54" s="35"/>
      <c r="DX54" s="35"/>
      <c r="DY54" s="35">
        <f t="shared" si="10"/>
        <v>33041</v>
      </c>
      <c r="DZ54" s="35">
        <f t="shared" si="11"/>
        <v>108393</v>
      </c>
      <c r="EA54" s="35">
        <v>31350</v>
      </c>
      <c r="EB54" s="35">
        <v>750</v>
      </c>
      <c r="EC54" s="35">
        <v>941</v>
      </c>
      <c r="ED54" s="35"/>
      <c r="EE54" s="35"/>
      <c r="EF54" s="35"/>
      <c r="EG54" s="35"/>
      <c r="EH54" s="35"/>
      <c r="EI54" s="35"/>
      <c r="EJ54" s="35"/>
      <c r="EK54" s="35"/>
      <c r="EL54" s="35"/>
      <c r="EM54" s="35">
        <f t="shared" si="12"/>
        <v>33041</v>
      </c>
      <c r="EN54" s="35">
        <v>31350</v>
      </c>
      <c r="EO54" s="35">
        <v>750</v>
      </c>
      <c r="EP54" s="35">
        <v>941</v>
      </c>
      <c r="EQ54" s="35"/>
      <c r="ER54" s="35"/>
      <c r="ES54" s="35"/>
      <c r="ET54" s="35"/>
      <c r="EU54" s="35"/>
      <c r="EV54" s="35"/>
      <c r="EW54" s="35"/>
      <c r="EX54" s="35"/>
      <c r="EY54" s="35"/>
      <c r="EZ54" s="35">
        <f t="shared" si="4"/>
        <v>33041</v>
      </c>
      <c r="FA54" s="35">
        <v>31350</v>
      </c>
      <c r="FB54" s="35">
        <v>750</v>
      </c>
      <c r="FC54" s="35">
        <v>941</v>
      </c>
      <c r="FD54" s="35"/>
      <c r="FE54" s="35"/>
      <c r="FF54" s="35"/>
      <c r="FG54" s="35"/>
      <c r="FH54" s="35"/>
      <c r="FI54" s="35"/>
      <c r="FJ54" s="35"/>
      <c r="FK54" s="35"/>
      <c r="FL54" s="35"/>
      <c r="FM54" s="35">
        <f t="shared" si="13"/>
        <v>33041</v>
      </c>
      <c r="FN54" s="35">
        <f t="shared" si="14"/>
        <v>99123</v>
      </c>
      <c r="FO54" s="35">
        <f t="shared" si="15"/>
        <v>396492</v>
      </c>
    </row>
    <row r="55" spans="1:171" x14ac:dyDescent="0.35">
      <c r="A55" s="34"/>
      <c r="B55" s="40"/>
      <c r="C55" s="58"/>
      <c r="D55" s="79" t="s">
        <v>161</v>
      </c>
      <c r="E55" s="40" t="s">
        <v>8</v>
      </c>
      <c r="F55" s="58" t="s">
        <v>17</v>
      </c>
      <c r="G55" s="58"/>
      <c r="H55" s="58"/>
      <c r="I55" s="58"/>
      <c r="J55" s="58"/>
      <c r="K55" s="35">
        <v>29810</v>
      </c>
      <c r="L55" s="35">
        <v>750</v>
      </c>
      <c r="M55" s="35">
        <v>894</v>
      </c>
      <c r="N55" s="35"/>
      <c r="O55" s="35"/>
      <c r="P55" s="35"/>
      <c r="Q55" s="35"/>
      <c r="R55" s="35"/>
      <c r="S55" s="35"/>
      <c r="T55" s="35"/>
      <c r="U55" s="35"/>
      <c r="V55" s="35"/>
      <c r="W55" s="35">
        <f t="shared" si="16"/>
        <v>31454</v>
      </c>
      <c r="X55" s="35">
        <v>29810</v>
      </c>
      <c r="Y55" s="35">
        <v>750</v>
      </c>
      <c r="Z55" s="35">
        <v>894</v>
      </c>
      <c r="AA55" s="35"/>
      <c r="AB55" s="35"/>
      <c r="AC55" s="35"/>
      <c r="AD55" s="35"/>
      <c r="AE55" s="35"/>
      <c r="AF55" s="35"/>
      <c r="AG55" s="35"/>
      <c r="AH55" s="35"/>
      <c r="AI55" s="35"/>
      <c r="AJ55" s="35">
        <f t="shared" si="56"/>
        <v>31454</v>
      </c>
      <c r="AK55" s="35">
        <v>29810</v>
      </c>
      <c r="AL55" s="35">
        <v>750</v>
      </c>
      <c r="AM55" s="35">
        <v>894</v>
      </c>
      <c r="AN55" s="35"/>
      <c r="AO55" s="35"/>
      <c r="AP55" s="35"/>
      <c r="AQ55" s="35"/>
      <c r="AR55" s="35"/>
      <c r="AS55" s="35"/>
      <c r="AT55" s="35"/>
      <c r="AU55" s="35"/>
      <c r="AV55" s="35"/>
      <c r="AW55" s="35">
        <f t="shared" si="1"/>
        <v>31454</v>
      </c>
      <c r="AX55" s="35">
        <f t="shared" si="2"/>
        <v>94362</v>
      </c>
      <c r="AY55" s="35">
        <v>29810</v>
      </c>
      <c r="AZ55" s="35">
        <v>750</v>
      </c>
      <c r="BA55" s="35">
        <v>894</v>
      </c>
      <c r="BB55" s="35"/>
      <c r="BC55" s="35"/>
      <c r="BD55" s="35"/>
      <c r="BE55" s="35"/>
      <c r="BF55" s="35"/>
      <c r="BG55" s="35"/>
      <c r="BH55" s="35"/>
      <c r="BI55" s="35"/>
      <c r="BJ55" s="35"/>
      <c r="BK55" s="35">
        <f t="shared" si="5"/>
        <v>31454</v>
      </c>
      <c r="BL55" s="35">
        <v>29810</v>
      </c>
      <c r="BM55" s="35">
        <v>750</v>
      </c>
      <c r="BN55" s="35">
        <v>894</v>
      </c>
      <c r="BO55" s="35"/>
      <c r="BP55" s="35"/>
      <c r="BQ55" s="35"/>
      <c r="BR55" s="35"/>
      <c r="BS55" s="35"/>
      <c r="BT55" s="35"/>
      <c r="BU55" s="35"/>
      <c r="BV55" s="35"/>
      <c r="BW55" s="35"/>
      <c r="BX55" s="35">
        <f t="shared" si="6"/>
        <v>31454</v>
      </c>
      <c r="BY55" s="35">
        <v>29810</v>
      </c>
      <c r="BZ55" s="35">
        <v>750</v>
      </c>
      <c r="CA55" s="35">
        <v>894</v>
      </c>
      <c r="CB55" s="35"/>
      <c r="CC55" s="35"/>
      <c r="CD55" s="35"/>
      <c r="CE55" s="35"/>
      <c r="CF55" s="35"/>
      <c r="CG55" s="35"/>
      <c r="CH55" s="35"/>
      <c r="CI55" s="35"/>
      <c r="CJ55" s="35"/>
      <c r="CK55" s="35">
        <f t="shared" si="7"/>
        <v>31454</v>
      </c>
      <c r="CL55" s="35">
        <f t="shared" si="8"/>
        <v>94362</v>
      </c>
      <c r="CM55" s="35">
        <v>31310</v>
      </c>
      <c r="CN55" s="35">
        <v>750</v>
      </c>
      <c r="CO55" s="35">
        <v>939</v>
      </c>
      <c r="CP55" s="35"/>
      <c r="CQ55" s="35"/>
      <c r="CR55" s="35"/>
      <c r="CS55" s="35"/>
      <c r="CT55" s="35"/>
      <c r="CU55" s="35"/>
      <c r="CV55" s="35"/>
      <c r="CW55" s="35"/>
      <c r="CX55" s="35"/>
      <c r="CY55" s="35">
        <f t="shared" si="9"/>
        <v>32999</v>
      </c>
      <c r="CZ55" s="35">
        <f>9000+31310</f>
        <v>40310</v>
      </c>
      <c r="DA55" s="35">
        <v>750</v>
      </c>
      <c r="DB55" s="35">
        <f>270+939</f>
        <v>1209</v>
      </c>
      <c r="DC55" s="35"/>
      <c r="DD55" s="35"/>
      <c r="DE55" s="35"/>
      <c r="DF55" s="35"/>
      <c r="DG55" s="35"/>
      <c r="DH55" s="35"/>
      <c r="DI55" s="35"/>
      <c r="DJ55" s="35"/>
      <c r="DK55" s="35"/>
      <c r="DL55" s="35">
        <f t="shared" si="3"/>
        <v>42269</v>
      </c>
      <c r="DM55" s="35">
        <v>31310</v>
      </c>
      <c r="DN55" s="35">
        <v>750</v>
      </c>
      <c r="DO55" s="35">
        <v>939</v>
      </c>
      <c r="DP55" s="35"/>
      <c r="DQ55" s="35"/>
      <c r="DR55" s="35"/>
      <c r="DS55" s="35"/>
      <c r="DT55" s="35"/>
      <c r="DU55" s="35"/>
      <c r="DV55" s="35"/>
      <c r="DW55" s="35"/>
      <c r="DX55" s="35"/>
      <c r="DY55" s="35">
        <f t="shared" si="10"/>
        <v>32999</v>
      </c>
      <c r="DZ55" s="35">
        <f t="shared" si="11"/>
        <v>108267</v>
      </c>
      <c r="EA55" s="35">
        <v>31310</v>
      </c>
      <c r="EB55" s="35">
        <v>750</v>
      </c>
      <c r="EC55" s="35">
        <v>939</v>
      </c>
      <c r="ED55" s="35"/>
      <c r="EE55" s="35"/>
      <c r="EF55" s="35"/>
      <c r="EG55" s="35"/>
      <c r="EH55" s="35"/>
      <c r="EI55" s="35"/>
      <c r="EJ55" s="35"/>
      <c r="EK55" s="35"/>
      <c r="EL55" s="35"/>
      <c r="EM55" s="35">
        <f t="shared" si="12"/>
        <v>32999</v>
      </c>
      <c r="EN55" s="35">
        <v>31310</v>
      </c>
      <c r="EO55" s="35">
        <v>750</v>
      </c>
      <c r="EP55" s="35">
        <v>939</v>
      </c>
      <c r="EQ55" s="35"/>
      <c r="ER55" s="35"/>
      <c r="ES55" s="35"/>
      <c r="ET55" s="35"/>
      <c r="EU55" s="35"/>
      <c r="EV55" s="35"/>
      <c r="EW55" s="35"/>
      <c r="EX55" s="35"/>
      <c r="EY55" s="35"/>
      <c r="EZ55" s="35">
        <f t="shared" si="4"/>
        <v>32999</v>
      </c>
      <c r="FA55" s="35">
        <v>31310</v>
      </c>
      <c r="FB55" s="35">
        <v>750</v>
      </c>
      <c r="FC55" s="35">
        <v>939</v>
      </c>
      <c r="FD55" s="35"/>
      <c r="FE55" s="35"/>
      <c r="FF55" s="35"/>
      <c r="FG55" s="35"/>
      <c r="FH55" s="35"/>
      <c r="FI55" s="35"/>
      <c r="FJ55" s="35"/>
      <c r="FK55" s="35"/>
      <c r="FL55" s="35"/>
      <c r="FM55" s="35">
        <f t="shared" si="13"/>
        <v>32999</v>
      </c>
      <c r="FN55" s="35">
        <f t="shared" si="14"/>
        <v>98997</v>
      </c>
      <c r="FO55" s="35">
        <f t="shared" si="15"/>
        <v>395988</v>
      </c>
    </row>
    <row r="56" spans="1:171" x14ac:dyDescent="0.35">
      <c r="A56" s="34"/>
      <c r="B56" s="40"/>
      <c r="C56" s="58"/>
      <c r="D56" s="79" t="s">
        <v>162</v>
      </c>
      <c r="E56" s="40" t="s">
        <v>8</v>
      </c>
      <c r="F56" s="58" t="s">
        <v>17</v>
      </c>
      <c r="G56" s="58"/>
      <c r="H56" s="58"/>
      <c r="I56" s="58"/>
      <c r="J56" s="58"/>
      <c r="K56" s="35">
        <v>34290</v>
      </c>
      <c r="L56" s="35">
        <v>750</v>
      </c>
      <c r="M56" s="35">
        <v>1029</v>
      </c>
      <c r="N56" s="35"/>
      <c r="O56" s="35"/>
      <c r="P56" s="35"/>
      <c r="Q56" s="35"/>
      <c r="R56" s="35"/>
      <c r="S56" s="35"/>
      <c r="T56" s="35"/>
      <c r="U56" s="35"/>
      <c r="V56" s="35"/>
      <c r="W56" s="35">
        <f t="shared" si="16"/>
        <v>36069</v>
      </c>
      <c r="X56" s="35">
        <v>34290</v>
      </c>
      <c r="Y56" s="35">
        <v>750</v>
      </c>
      <c r="Z56" s="35">
        <v>1029</v>
      </c>
      <c r="AA56" s="35"/>
      <c r="AB56" s="35"/>
      <c r="AC56" s="35"/>
      <c r="AD56" s="35"/>
      <c r="AE56" s="35"/>
      <c r="AF56" s="35"/>
      <c r="AG56" s="35"/>
      <c r="AH56" s="35"/>
      <c r="AI56" s="35"/>
      <c r="AJ56" s="35">
        <f t="shared" si="56"/>
        <v>36069</v>
      </c>
      <c r="AK56" s="35">
        <v>34290</v>
      </c>
      <c r="AL56" s="35">
        <v>750</v>
      </c>
      <c r="AM56" s="35">
        <v>1029</v>
      </c>
      <c r="AN56" s="35"/>
      <c r="AO56" s="35"/>
      <c r="AP56" s="35"/>
      <c r="AQ56" s="35"/>
      <c r="AR56" s="35"/>
      <c r="AS56" s="35"/>
      <c r="AT56" s="35"/>
      <c r="AU56" s="35"/>
      <c r="AV56" s="35"/>
      <c r="AW56" s="35">
        <f t="shared" si="1"/>
        <v>36069</v>
      </c>
      <c r="AX56" s="35">
        <f t="shared" si="2"/>
        <v>108207</v>
      </c>
      <c r="AY56" s="35">
        <v>34290</v>
      </c>
      <c r="AZ56" s="35">
        <v>750</v>
      </c>
      <c r="BA56" s="35">
        <v>1029</v>
      </c>
      <c r="BB56" s="35"/>
      <c r="BC56" s="35"/>
      <c r="BD56" s="35"/>
      <c r="BE56" s="35"/>
      <c r="BF56" s="35"/>
      <c r="BG56" s="35"/>
      <c r="BH56" s="35"/>
      <c r="BI56" s="35"/>
      <c r="BJ56" s="35"/>
      <c r="BK56" s="35">
        <f t="shared" si="5"/>
        <v>36069</v>
      </c>
      <c r="BL56" s="35">
        <v>34290</v>
      </c>
      <c r="BM56" s="35">
        <v>750</v>
      </c>
      <c r="BN56" s="35">
        <v>1029</v>
      </c>
      <c r="BO56" s="35"/>
      <c r="BP56" s="35"/>
      <c r="BQ56" s="35"/>
      <c r="BR56" s="35"/>
      <c r="BS56" s="35"/>
      <c r="BT56" s="35"/>
      <c r="BU56" s="35"/>
      <c r="BV56" s="35"/>
      <c r="BW56" s="35"/>
      <c r="BX56" s="35">
        <f t="shared" si="6"/>
        <v>36069</v>
      </c>
      <c r="BY56" s="35">
        <v>34290</v>
      </c>
      <c r="BZ56" s="35">
        <v>750</v>
      </c>
      <c r="CA56" s="35">
        <v>1029</v>
      </c>
      <c r="CB56" s="35"/>
      <c r="CC56" s="35"/>
      <c r="CD56" s="35"/>
      <c r="CE56" s="35"/>
      <c r="CF56" s="35"/>
      <c r="CG56" s="35"/>
      <c r="CH56" s="35"/>
      <c r="CI56" s="35"/>
      <c r="CJ56" s="35"/>
      <c r="CK56" s="35">
        <f t="shared" si="7"/>
        <v>36069</v>
      </c>
      <c r="CL56" s="35">
        <f t="shared" si="8"/>
        <v>108207</v>
      </c>
      <c r="CM56" s="35">
        <v>36000</v>
      </c>
      <c r="CN56" s="35">
        <v>750</v>
      </c>
      <c r="CO56" s="35">
        <v>1080</v>
      </c>
      <c r="CP56" s="35"/>
      <c r="CQ56" s="35"/>
      <c r="CR56" s="35"/>
      <c r="CS56" s="35"/>
      <c r="CT56" s="35"/>
      <c r="CU56" s="35"/>
      <c r="CV56" s="35"/>
      <c r="CW56" s="35"/>
      <c r="CX56" s="35"/>
      <c r="CY56" s="35">
        <f t="shared" si="9"/>
        <v>37830</v>
      </c>
      <c r="CZ56" s="35">
        <f>10260+36000</f>
        <v>46260</v>
      </c>
      <c r="DA56" s="35">
        <v>750</v>
      </c>
      <c r="DB56" s="35">
        <f>306+1080</f>
        <v>1386</v>
      </c>
      <c r="DC56" s="35"/>
      <c r="DD56" s="35"/>
      <c r="DE56" s="35"/>
      <c r="DF56" s="35"/>
      <c r="DG56" s="35"/>
      <c r="DH56" s="35"/>
      <c r="DI56" s="35"/>
      <c r="DJ56" s="35"/>
      <c r="DK56" s="35"/>
      <c r="DL56" s="35">
        <f t="shared" si="3"/>
        <v>48396</v>
      </c>
      <c r="DM56" s="35">
        <v>36000</v>
      </c>
      <c r="DN56" s="35">
        <v>750</v>
      </c>
      <c r="DO56" s="35">
        <v>1080</v>
      </c>
      <c r="DP56" s="35"/>
      <c r="DQ56" s="35"/>
      <c r="DR56" s="35"/>
      <c r="DS56" s="35"/>
      <c r="DT56" s="35"/>
      <c r="DU56" s="35"/>
      <c r="DV56" s="35"/>
      <c r="DW56" s="35"/>
      <c r="DX56" s="35"/>
      <c r="DY56" s="35">
        <f t="shared" si="10"/>
        <v>37830</v>
      </c>
      <c r="DZ56" s="35">
        <f t="shared" si="11"/>
        <v>124056</v>
      </c>
      <c r="EA56" s="35">
        <v>36000</v>
      </c>
      <c r="EB56" s="35">
        <v>750</v>
      </c>
      <c r="EC56" s="35">
        <v>1080</v>
      </c>
      <c r="ED56" s="35"/>
      <c r="EE56" s="35"/>
      <c r="EF56" s="35"/>
      <c r="EG56" s="35"/>
      <c r="EH56" s="35"/>
      <c r="EI56" s="35"/>
      <c r="EJ56" s="35"/>
      <c r="EK56" s="35"/>
      <c r="EL56" s="35"/>
      <c r="EM56" s="35">
        <f t="shared" si="12"/>
        <v>37830</v>
      </c>
      <c r="EN56" s="35">
        <v>36000</v>
      </c>
      <c r="EO56" s="35">
        <v>750</v>
      </c>
      <c r="EP56" s="35">
        <v>1080</v>
      </c>
      <c r="EQ56" s="35"/>
      <c r="ER56" s="35"/>
      <c r="ES56" s="35"/>
      <c r="ET56" s="35"/>
      <c r="EU56" s="35"/>
      <c r="EV56" s="35"/>
      <c r="EW56" s="35"/>
      <c r="EX56" s="35"/>
      <c r="EY56" s="35"/>
      <c r="EZ56" s="35">
        <f t="shared" si="4"/>
        <v>37830</v>
      </c>
      <c r="FA56" s="35">
        <v>36000</v>
      </c>
      <c r="FB56" s="35">
        <v>750</v>
      </c>
      <c r="FC56" s="35">
        <v>1080</v>
      </c>
      <c r="FD56" s="35"/>
      <c r="FE56" s="35"/>
      <c r="FF56" s="35"/>
      <c r="FG56" s="35"/>
      <c r="FH56" s="35"/>
      <c r="FI56" s="35"/>
      <c r="FJ56" s="35"/>
      <c r="FK56" s="35"/>
      <c r="FL56" s="35"/>
      <c r="FM56" s="35">
        <f t="shared" si="13"/>
        <v>37830</v>
      </c>
      <c r="FN56" s="35">
        <f t="shared" si="14"/>
        <v>113490</v>
      </c>
      <c r="FO56" s="35">
        <f t="shared" si="15"/>
        <v>453960</v>
      </c>
    </row>
    <row r="57" spans="1:171" x14ac:dyDescent="0.35">
      <c r="A57" s="34"/>
      <c r="B57" s="40"/>
      <c r="C57" s="58"/>
      <c r="D57" s="79" t="s">
        <v>163</v>
      </c>
      <c r="E57" s="40" t="s">
        <v>8</v>
      </c>
      <c r="F57" s="58" t="s">
        <v>17</v>
      </c>
      <c r="G57" s="58"/>
      <c r="H57" s="58"/>
      <c r="I57" s="58"/>
      <c r="J57" s="58"/>
      <c r="K57" s="35">
        <v>29630</v>
      </c>
      <c r="L57" s="35">
        <v>750</v>
      </c>
      <c r="M57" s="35">
        <v>889</v>
      </c>
      <c r="N57" s="35"/>
      <c r="O57" s="35"/>
      <c r="P57" s="35"/>
      <c r="Q57" s="35"/>
      <c r="R57" s="35"/>
      <c r="S57" s="35"/>
      <c r="T57" s="35"/>
      <c r="U57" s="35"/>
      <c r="V57" s="35"/>
      <c r="W57" s="35">
        <f t="shared" si="16"/>
        <v>31269</v>
      </c>
      <c r="X57" s="35">
        <v>29630</v>
      </c>
      <c r="Y57" s="35">
        <v>750</v>
      </c>
      <c r="Z57" s="35">
        <v>889</v>
      </c>
      <c r="AA57" s="35"/>
      <c r="AB57" s="35"/>
      <c r="AC57" s="35"/>
      <c r="AD57" s="35"/>
      <c r="AE57" s="35"/>
      <c r="AF57" s="35"/>
      <c r="AG57" s="35"/>
      <c r="AH57" s="35"/>
      <c r="AI57" s="35"/>
      <c r="AJ57" s="35">
        <f t="shared" si="56"/>
        <v>31269</v>
      </c>
      <c r="AK57" s="35">
        <v>29630</v>
      </c>
      <c r="AL57" s="35">
        <v>750</v>
      </c>
      <c r="AM57" s="35">
        <v>889</v>
      </c>
      <c r="AN57" s="35"/>
      <c r="AO57" s="35"/>
      <c r="AP57" s="35"/>
      <c r="AQ57" s="35"/>
      <c r="AR57" s="35"/>
      <c r="AS57" s="35"/>
      <c r="AT57" s="35"/>
      <c r="AU57" s="35"/>
      <c r="AV57" s="35"/>
      <c r="AW57" s="35">
        <f t="shared" si="1"/>
        <v>31269</v>
      </c>
      <c r="AX57" s="35">
        <f t="shared" si="2"/>
        <v>93807</v>
      </c>
      <c r="AY57" s="35">
        <v>29630</v>
      </c>
      <c r="AZ57" s="35">
        <v>750</v>
      </c>
      <c r="BA57" s="35">
        <v>889</v>
      </c>
      <c r="BB57" s="35"/>
      <c r="BC57" s="35"/>
      <c r="BD57" s="35"/>
      <c r="BE57" s="35"/>
      <c r="BF57" s="35"/>
      <c r="BG57" s="35"/>
      <c r="BH57" s="35"/>
      <c r="BI57" s="35"/>
      <c r="BJ57" s="35"/>
      <c r="BK57" s="35">
        <f t="shared" si="5"/>
        <v>31269</v>
      </c>
      <c r="BL57" s="35">
        <v>29630</v>
      </c>
      <c r="BM57" s="35">
        <v>750</v>
      </c>
      <c r="BN57" s="35">
        <v>889</v>
      </c>
      <c r="BO57" s="35"/>
      <c r="BP57" s="35"/>
      <c r="BQ57" s="35"/>
      <c r="BR57" s="35"/>
      <c r="BS57" s="35"/>
      <c r="BT57" s="35"/>
      <c r="BU57" s="35"/>
      <c r="BV57" s="35"/>
      <c r="BW57" s="35"/>
      <c r="BX57" s="35">
        <f t="shared" si="6"/>
        <v>31269</v>
      </c>
      <c r="BY57" s="35">
        <v>29630</v>
      </c>
      <c r="BZ57" s="35">
        <v>750</v>
      </c>
      <c r="CA57" s="35">
        <v>889</v>
      </c>
      <c r="CB57" s="35"/>
      <c r="CC57" s="35"/>
      <c r="CD57" s="35"/>
      <c r="CE57" s="35"/>
      <c r="CF57" s="35"/>
      <c r="CG57" s="35"/>
      <c r="CH57" s="35"/>
      <c r="CI57" s="35"/>
      <c r="CJ57" s="35"/>
      <c r="CK57" s="35">
        <f t="shared" si="7"/>
        <v>31269</v>
      </c>
      <c r="CL57" s="35">
        <f t="shared" si="8"/>
        <v>93807</v>
      </c>
      <c r="CM57" s="35">
        <v>31120</v>
      </c>
      <c r="CN57" s="35">
        <v>750</v>
      </c>
      <c r="CO57" s="35">
        <v>934</v>
      </c>
      <c r="CP57" s="35"/>
      <c r="CQ57" s="35"/>
      <c r="CR57" s="35"/>
      <c r="CS57" s="35"/>
      <c r="CT57" s="35"/>
      <c r="CU57" s="35"/>
      <c r="CV57" s="35"/>
      <c r="CW57" s="35"/>
      <c r="CX57" s="35"/>
      <c r="CY57" s="35">
        <f t="shared" si="9"/>
        <v>32804</v>
      </c>
      <c r="CZ57" s="35">
        <f>8940+31120</f>
        <v>40060</v>
      </c>
      <c r="DA57" s="35">
        <v>750</v>
      </c>
      <c r="DB57" s="35">
        <f>270+934</f>
        <v>1204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>
        <f t="shared" si="3"/>
        <v>42014</v>
      </c>
      <c r="DM57" s="35">
        <v>31120</v>
      </c>
      <c r="DN57" s="35">
        <v>750</v>
      </c>
      <c r="DO57" s="35">
        <v>934</v>
      </c>
      <c r="DP57" s="35"/>
      <c r="DQ57" s="35"/>
      <c r="DR57" s="35"/>
      <c r="DS57" s="35"/>
      <c r="DT57" s="35"/>
      <c r="DU57" s="35"/>
      <c r="DV57" s="35"/>
      <c r="DW57" s="35"/>
      <c r="DX57" s="35"/>
      <c r="DY57" s="35">
        <f t="shared" si="10"/>
        <v>32804</v>
      </c>
      <c r="DZ57" s="35">
        <f t="shared" si="11"/>
        <v>107622</v>
      </c>
      <c r="EA57" s="35">
        <v>31120</v>
      </c>
      <c r="EB57" s="35">
        <v>750</v>
      </c>
      <c r="EC57" s="35">
        <v>934</v>
      </c>
      <c r="ED57" s="35"/>
      <c r="EE57" s="35"/>
      <c r="EF57" s="35"/>
      <c r="EG57" s="35"/>
      <c r="EH57" s="35"/>
      <c r="EI57" s="35"/>
      <c r="EJ57" s="35"/>
      <c r="EK57" s="35"/>
      <c r="EL57" s="35"/>
      <c r="EM57" s="35">
        <f t="shared" si="12"/>
        <v>32804</v>
      </c>
      <c r="EN57" s="35">
        <v>31120</v>
      </c>
      <c r="EO57" s="35">
        <v>750</v>
      </c>
      <c r="EP57" s="35">
        <v>934</v>
      </c>
      <c r="EQ57" s="35"/>
      <c r="ER57" s="35"/>
      <c r="ES57" s="35"/>
      <c r="ET57" s="35"/>
      <c r="EU57" s="35"/>
      <c r="EV57" s="35"/>
      <c r="EW57" s="35"/>
      <c r="EX57" s="35"/>
      <c r="EY57" s="35"/>
      <c r="EZ57" s="35">
        <f t="shared" si="4"/>
        <v>32804</v>
      </c>
      <c r="FA57" s="35">
        <v>31120</v>
      </c>
      <c r="FB57" s="35">
        <v>750</v>
      </c>
      <c r="FC57" s="35">
        <v>934</v>
      </c>
      <c r="FD57" s="35"/>
      <c r="FE57" s="35"/>
      <c r="FF57" s="35"/>
      <c r="FG57" s="35"/>
      <c r="FH57" s="35"/>
      <c r="FI57" s="35"/>
      <c r="FJ57" s="35"/>
      <c r="FK57" s="35"/>
      <c r="FL57" s="35"/>
      <c r="FM57" s="35">
        <f t="shared" si="13"/>
        <v>32804</v>
      </c>
      <c r="FN57" s="35">
        <f t="shared" si="14"/>
        <v>98412</v>
      </c>
      <c r="FO57" s="35">
        <f t="shared" si="15"/>
        <v>393648</v>
      </c>
    </row>
    <row r="58" spans="1:171" x14ac:dyDescent="0.35">
      <c r="A58" s="34"/>
      <c r="B58" s="40"/>
      <c r="C58" s="58"/>
      <c r="D58" s="79" t="s">
        <v>164</v>
      </c>
      <c r="E58" s="40" t="s">
        <v>8</v>
      </c>
      <c r="F58" s="58" t="s">
        <v>17</v>
      </c>
      <c r="G58" s="58"/>
      <c r="H58" s="58"/>
      <c r="I58" s="58"/>
      <c r="J58" s="58"/>
      <c r="K58" s="35">
        <v>28340</v>
      </c>
      <c r="L58" s="35">
        <v>750</v>
      </c>
      <c r="M58" s="35">
        <v>850</v>
      </c>
      <c r="N58" s="35"/>
      <c r="O58" s="35"/>
      <c r="P58" s="35"/>
      <c r="Q58" s="35"/>
      <c r="R58" s="35"/>
      <c r="S58" s="35"/>
      <c r="T58" s="35"/>
      <c r="U58" s="35"/>
      <c r="V58" s="35"/>
      <c r="W58" s="35">
        <f t="shared" si="16"/>
        <v>29940</v>
      </c>
      <c r="X58" s="35">
        <v>28340</v>
      </c>
      <c r="Y58" s="35">
        <v>750</v>
      </c>
      <c r="Z58" s="35">
        <v>850</v>
      </c>
      <c r="AA58" s="35"/>
      <c r="AB58" s="35"/>
      <c r="AC58" s="35"/>
      <c r="AD58" s="35"/>
      <c r="AE58" s="35"/>
      <c r="AF58" s="35"/>
      <c r="AG58" s="35"/>
      <c r="AH58" s="35"/>
      <c r="AI58" s="35"/>
      <c r="AJ58" s="35">
        <f t="shared" si="56"/>
        <v>29940</v>
      </c>
      <c r="AK58" s="35">
        <v>28340</v>
      </c>
      <c r="AL58" s="35">
        <v>750</v>
      </c>
      <c r="AM58" s="35">
        <v>850</v>
      </c>
      <c r="AN58" s="35"/>
      <c r="AO58" s="35"/>
      <c r="AP58" s="35"/>
      <c r="AQ58" s="35"/>
      <c r="AR58" s="35"/>
      <c r="AS58" s="35"/>
      <c r="AT58" s="35"/>
      <c r="AU58" s="35"/>
      <c r="AV58" s="35"/>
      <c r="AW58" s="35">
        <f t="shared" si="1"/>
        <v>29940</v>
      </c>
      <c r="AX58" s="35">
        <f t="shared" si="2"/>
        <v>89820</v>
      </c>
      <c r="AY58" s="35">
        <v>28340</v>
      </c>
      <c r="AZ58" s="35">
        <v>750</v>
      </c>
      <c r="BA58" s="35">
        <v>850</v>
      </c>
      <c r="BB58" s="35"/>
      <c r="BC58" s="35"/>
      <c r="BD58" s="35"/>
      <c r="BE58" s="35"/>
      <c r="BF58" s="35"/>
      <c r="BG58" s="35"/>
      <c r="BH58" s="35"/>
      <c r="BI58" s="35"/>
      <c r="BJ58" s="35"/>
      <c r="BK58" s="35">
        <f t="shared" si="5"/>
        <v>29940</v>
      </c>
      <c r="BL58" s="35">
        <v>28340</v>
      </c>
      <c r="BM58" s="35">
        <v>750</v>
      </c>
      <c r="BN58" s="35">
        <v>850</v>
      </c>
      <c r="BO58" s="35"/>
      <c r="BP58" s="35"/>
      <c r="BQ58" s="35"/>
      <c r="BR58" s="35"/>
      <c r="BS58" s="35"/>
      <c r="BT58" s="35"/>
      <c r="BU58" s="35"/>
      <c r="BV58" s="35"/>
      <c r="BW58" s="35"/>
      <c r="BX58" s="35">
        <f t="shared" si="6"/>
        <v>29940</v>
      </c>
      <c r="BY58" s="35">
        <v>28340</v>
      </c>
      <c r="BZ58" s="35">
        <v>750</v>
      </c>
      <c r="CA58" s="35">
        <v>850</v>
      </c>
      <c r="CB58" s="35"/>
      <c r="CC58" s="35"/>
      <c r="CD58" s="35"/>
      <c r="CE58" s="35"/>
      <c r="CF58" s="35"/>
      <c r="CG58" s="35"/>
      <c r="CH58" s="35"/>
      <c r="CI58" s="35"/>
      <c r="CJ58" s="35"/>
      <c r="CK58" s="35">
        <f t="shared" si="7"/>
        <v>29940</v>
      </c>
      <c r="CL58" s="35">
        <f t="shared" si="8"/>
        <v>89820</v>
      </c>
      <c r="CM58" s="35">
        <v>29760</v>
      </c>
      <c r="CN58" s="35">
        <v>750</v>
      </c>
      <c r="CO58" s="35">
        <v>893</v>
      </c>
      <c r="CP58" s="35"/>
      <c r="CQ58" s="35"/>
      <c r="CR58" s="35"/>
      <c r="CS58" s="35"/>
      <c r="CT58" s="35"/>
      <c r="CU58" s="35"/>
      <c r="CV58" s="35"/>
      <c r="CW58" s="35"/>
      <c r="CX58" s="35"/>
      <c r="CY58" s="35">
        <f t="shared" si="9"/>
        <v>31403</v>
      </c>
      <c r="CZ58" s="35">
        <f>8520+29760</f>
        <v>38280</v>
      </c>
      <c r="DA58" s="35">
        <v>750</v>
      </c>
      <c r="DB58" s="35">
        <f>258+893</f>
        <v>1151</v>
      </c>
      <c r="DC58" s="35"/>
      <c r="DD58" s="35"/>
      <c r="DE58" s="35"/>
      <c r="DF58" s="35"/>
      <c r="DG58" s="35"/>
      <c r="DH58" s="35"/>
      <c r="DI58" s="35"/>
      <c r="DJ58" s="35"/>
      <c r="DK58" s="35"/>
      <c r="DL58" s="35">
        <f t="shared" si="3"/>
        <v>40181</v>
      </c>
      <c r="DM58" s="35">
        <v>29760</v>
      </c>
      <c r="DN58" s="35">
        <v>750</v>
      </c>
      <c r="DO58" s="35">
        <v>893</v>
      </c>
      <c r="DP58" s="35"/>
      <c r="DQ58" s="35"/>
      <c r="DR58" s="35"/>
      <c r="DS58" s="35"/>
      <c r="DT58" s="35"/>
      <c r="DU58" s="35"/>
      <c r="DV58" s="35"/>
      <c r="DW58" s="35"/>
      <c r="DX58" s="35"/>
      <c r="DY58" s="35">
        <f t="shared" si="10"/>
        <v>31403</v>
      </c>
      <c r="DZ58" s="35">
        <f t="shared" si="11"/>
        <v>102987</v>
      </c>
      <c r="EA58" s="35">
        <v>29760</v>
      </c>
      <c r="EB58" s="35">
        <v>750</v>
      </c>
      <c r="EC58" s="35">
        <v>893</v>
      </c>
      <c r="ED58" s="35"/>
      <c r="EE58" s="35"/>
      <c r="EF58" s="35"/>
      <c r="EG58" s="35"/>
      <c r="EH58" s="35"/>
      <c r="EI58" s="35"/>
      <c r="EJ58" s="35"/>
      <c r="EK58" s="35"/>
      <c r="EL58" s="35"/>
      <c r="EM58" s="35">
        <f t="shared" si="12"/>
        <v>31403</v>
      </c>
      <c r="EN58" s="35">
        <v>29760</v>
      </c>
      <c r="EO58" s="35">
        <v>750</v>
      </c>
      <c r="EP58" s="35">
        <v>893</v>
      </c>
      <c r="EQ58" s="35"/>
      <c r="ER58" s="35"/>
      <c r="ES58" s="35"/>
      <c r="ET58" s="35"/>
      <c r="EU58" s="35"/>
      <c r="EV58" s="35"/>
      <c r="EW58" s="35"/>
      <c r="EX58" s="35"/>
      <c r="EY58" s="35"/>
      <c r="EZ58" s="35">
        <f t="shared" si="4"/>
        <v>31403</v>
      </c>
      <c r="FA58" s="35">
        <v>29760</v>
      </c>
      <c r="FB58" s="35">
        <v>750</v>
      </c>
      <c r="FC58" s="35">
        <v>893</v>
      </c>
      <c r="FD58" s="35"/>
      <c r="FE58" s="35"/>
      <c r="FF58" s="35"/>
      <c r="FG58" s="35"/>
      <c r="FH58" s="35"/>
      <c r="FI58" s="35"/>
      <c r="FJ58" s="35"/>
      <c r="FK58" s="35"/>
      <c r="FL58" s="35"/>
      <c r="FM58" s="35">
        <f t="shared" si="13"/>
        <v>31403</v>
      </c>
      <c r="FN58" s="35">
        <f t="shared" si="14"/>
        <v>94209</v>
      </c>
      <c r="FO58" s="35">
        <f t="shared" si="15"/>
        <v>376836</v>
      </c>
    </row>
    <row r="59" spans="1:171" x14ac:dyDescent="0.35">
      <c r="A59" s="34"/>
      <c r="B59" s="40"/>
      <c r="C59" s="58"/>
      <c r="D59" s="79" t="s">
        <v>165</v>
      </c>
      <c r="E59" s="40" t="s">
        <v>8</v>
      </c>
      <c r="F59" s="58" t="s">
        <v>17</v>
      </c>
      <c r="G59" s="58"/>
      <c r="H59" s="58"/>
      <c r="I59" s="58"/>
      <c r="J59" s="58"/>
      <c r="K59" s="35">
        <v>28120</v>
      </c>
      <c r="L59" s="35">
        <v>750</v>
      </c>
      <c r="M59" s="35">
        <v>844</v>
      </c>
      <c r="N59" s="35"/>
      <c r="O59" s="35"/>
      <c r="P59" s="35"/>
      <c r="Q59" s="35"/>
      <c r="R59" s="35"/>
      <c r="S59" s="35"/>
      <c r="T59" s="35"/>
      <c r="U59" s="35"/>
      <c r="V59" s="35"/>
      <c r="W59" s="35">
        <f t="shared" si="16"/>
        <v>29714</v>
      </c>
      <c r="X59" s="35">
        <v>28120</v>
      </c>
      <c r="Y59" s="35">
        <v>750</v>
      </c>
      <c r="Z59" s="35">
        <v>844</v>
      </c>
      <c r="AA59" s="35"/>
      <c r="AB59" s="35"/>
      <c r="AC59" s="35"/>
      <c r="AD59" s="35"/>
      <c r="AE59" s="35"/>
      <c r="AF59" s="35"/>
      <c r="AG59" s="35"/>
      <c r="AH59" s="35"/>
      <c r="AI59" s="35"/>
      <c r="AJ59" s="35">
        <f t="shared" si="56"/>
        <v>29714</v>
      </c>
      <c r="AK59" s="35">
        <v>28120</v>
      </c>
      <c r="AL59" s="35">
        <v>750</v>
      </c>
      <c r="AM59" s="35">
        <v>844</v>
      </c>
      <c r="AN59" s="35"/>
      <c r="AO59" s="35"/>
      <c r="AP59" s="35"/>
      <c r="AQ59" s="35"/>
      <c r="AR59" s="35"/>
      <c r="AS59" s="35"/>
      <c r="AT59" s="35"/>
      <c r="AU59" s="35"/>
      <c r="AV59" s="35"/>
      <c r="AW59" s="35">
        <f t="shared" si="1"/>
        <v>29714</v>
      </c>
      <c r="AX59" s="35">
        <f t="shared" si="2"/>
        <v>89142</v>
      </c>
      <c r="AY59" s="35">
        <v>28120</v>
      </c>
      <c r="AZ59" s="35">
        <v>750</v>
      </c>
      <c r="BA59" s="35">
        <v>844</v>
      </c>
      <c r="BB59" s="35"/>
      <c r="BC59" s="35"/>
      <c r="BD59" s="35"/>
      <c r="BE59" s="35"/>
      <c r="BF59" s="35"/>
      <c r="BG59" s="35"/>
      <c r="BH59" s="35"/>
      <c r="BI59" s="35"/>
      <c r="BJ59" s="35"/>
      <c r="BK59" s="35">
        <f t="shared" si="5"/>
        <v>29714</v>
      </c>
      <c r="BL59" s="35">
        <v>28120</v>
      </c>
      <c r="BM59" s="35">
        <v>750</v>
      </c>
      <c r="BN59" s="35">
        <v>844</v>
      </c>
      <c r="BO59" s="35"/>
      <c r="BP59" s="35"/>
      <c r="BQ59" s="35"/>
      <c r="BR59" s="35"/>
      <c r="BS59" s="35"/>
      <c r="BT59" s="35"/>
      <c r="BU59" s="35"/>
      <c r="BV59" s="35"/>
      <c r="BW59" s="35"/>
      <c r="BX59" s="35">
        <f t="shared" si="6"/>
        <v>29714</v>
      </c>
      <c r="BY59" s="35">
        <v>28120</v>
      </c>
      <c r="BZ59" s="35">
        <v>750</v>
      </c>
      <c r="CA59" s="35">
        <v>844</v>
      </c>
      <c r="CB59" s="35"/>
      <c r="CC59" s="35"/>
      <c r="CD59" s="35"/>
      <c r="CE59" s="35"/>
      <c r="CF59" s="35"/>
      <c r="CG59" s="35"/>
      <c r="CH59" s="35"/>
      <c r="CI59" s="35"/>
      <c r="CJ59" s="35"/>
      <c r="CK59" s="35">
        <f t="shared" si="7"/>
        <v>29714</v>
      </c>
      <c r="CL59" s="35">
        <f t="shared" si="8"/>
        <v>89142</v>
      </c>
      <c r="CM59" s="35">
        <v>29530</v>
      </c>
      <c r="CN59" s="35">
        <v>750</v>
      </c>
      <c r="CO59" s="35">
        <v>886</v>
      </c>
      <c r="CP59" s="35"/>
      <c r="CQ59" s="35"/>
      <c r="CR59" s="35"/>
      <c r="CS59" s="35"/>
      <c r="CT59" s="35"/>
      <c r="CU59" s="35"/>
      <c r="CV59" s="35"/>
      <c r="CW59" s="35"/>
      <c r="CX59" s="35"/>
      <c r="CY59" s="35">
        <f t="shared" si="9"/>
        <v>31166</v>
      </c>
      <c r="CZ59" s="35">
        <f>8460+29530</f>
        <v>37990</v>
      </c>
      <c r="DA59" s="35">
        <v>750</v>
      </c>
      <c r="DB59" s="35">
        <f>252+886</f>
        <v>1138</v>
      </c>
      <c r="DC59" s="35"/>
      <c r="DD59" s="35"/>
      <c r="DE59" s="35"/>
      <c r="DF59" s="35"/>
      <c r="DG59" s="35"/>
      <c r="DH59" s="35"/>
      <c r="DI59" s="35"/>
      <c r="DJ59" s="35"/>
      <c r="DK59" s="35"/>
      <c r="DL59" s="35">
        <f t="shared" si="3"/>
        <v>39878</v>
      </c>
      <c r="DM59" s="35">
        <v>29530</v>
      </c>
      <c r="DN59" s="35">
        <v>750</v>
      </c>
      <c r="DO59" s="35">
        <v>886</v>
      </c>
      <c r="DP59" s="35"/>
      <c r="DQ59" s="35"/>
      <c r="DR59" s="35"/>
      <c r="DS59" s="35"/>
      <c r="DT59" s="35"/>
      <c r="DU59" s="35"/>
      <c r="DV59" s="35"/>
      <c r="DW59" s="35"/>
      <c r="DX59" s="35"/>
      <c r="DY59" s="35">
        <f t="shared" si="10"/>
        <v>31166</v>
      </c>
      <c r="DZ59" s="35">
        <f t="shared" si="11"/>
        <v>102210</v>
      </c>
      <c r="EA59" s="35">
        <v>29530</v>
      </c>
      <c r="EB59" s="35">
        <v>750</v>
      </c>
      <c r="EC59" s="35">
        <v>886</v>
      </c>
      <c r="ED59" s="35"/>
      <c r="EE59" s="35"/>
      <c r="EF59" s="35"/>
      <c r="EG59" s="35"/>
      <c r="EH59" s="35"/>
      <c r="EI59" s="35"/>
      <c r="EJ59" s="35"/>
      <c r="EK59" s="35"/>
      <c r="EL59" s="35"/>
      <c r="EM59" s="35">
        <f t="shared" si="12"/>
        <v>31166</v>
      </c>
      <c r="EN59" s="35">
        <v>29530</v>
      </c>
      <c r="EO59" s="35">
        <v>750</v>
      </c>
      <c r="EP59" s="35">
        <v>886</v>
      </c>
      <c r="EQ59" s="35"/>
      <c r="ER59" s="35"/>
      <c r="ES59" s="35"/>
      <c r="ET59" s="35"/>
      <c r="EU59" s="35"/>
      <c r="EV59" s="35"/>
      <c r="EW59" s="35"/>
      <c r="EX59" s="35"/>
      <c r="EY59" s="35"/>
      <c r="EZ59" s="35">
        <f t="shared" si="4"/>
        <v>31166</v>
      </c>
      <c r="FA59" s="35">
        <v>29530</v>
      </c>
      <c r="FB59" s="35">
        <v>750</v>
      </c>
      <c r="FC59" s="35">
        <v>886</v>
      </c>
      <c r="FD59" s="35"/>
      <c r="FE59" s="35"/>
      <c r="FF59" s="35"/>
      <c r="FG59" s="35"/>
      <c r="FH59" s="35"/>
      <c r="FI59" s="35"/>
      <c r="FJ59" s="35"/>
      <c r="FK59" s="35"/>
      <c r="FL59" s="35"/>
      <c r="FM59" s="35">
        <f t="shared" si="13"/>
        <v>31166</v>
      </c>
      <c r="FN59" s="35">
        <f t="shared" si="14"/>
        <v>93498</v>
      </c>
      <c r="FO59" s="35">
        <f t="shared" si="15"/>
        <v>373992</v>
      </c>
    </row>
    <row r="60" spans="1:171" x14ac:dyDescent="0.35">
      <c r="A60" s="34"/>
      <c r="B60" s="40"/>
      <c r="C60" s="58"/>
      <c r="D60" s="79" t="s">
        <v>166</v>
      </c>
      <c r="E60" s="40" t="s">
        <v>8</v>
      </c>
      <c r="F60" s="58" t="s">
        <v>17</v>
      </c>
      <c r="G60" s="58"/>
      <c r="H60" s="58"/>
      <c r="I60" s="58"/>
      <c r="J60" s="58"/>
      <c r="K60" s="35">
        <v>28120</v>
      </c>
      <c r="L60" s="35">
        <v>750</v>
      </c>
      <c r="M60" s="35">
        <v>844</v>
      </c>
      <c r="N60" s="35"/>
      <c r="O60" s="35"/>
      <c r="P60" s="35"/>
      <c r="Q60" s="35"/>
      <c r="R60" s="35"/>
      <c r="S60" s="35"/>
      <c r="T60" s="35"/>
      <c r="U60" s="35"/>
      <c r="V60" s="35"/>
      <c r="W60" s="35">
        <f t="shared" si="16"/>
        <v>29714</v>
      </c>
      <c r="X60" s="35">
        <v>28120</v>
      </c>
      <c r="Y60" s="35">
        <v>750</v>
      </c>
      <c r="Z60" s="35">
        <v>844</v>
      </c>
      <c r="AA60" s="35"/>
      <c r="AB60" s="35"/>
      <c r="AC60" s="35"/>
      <c r="AD60" s="35"/>
      <c r="AE60" s="35"/>
      <c r="AF60" s="35"/>
      <c r="AG60" s="35"/>
      <c r="AH60" s="35"/>
      <c r="AI60" s="35"/>
      <c r="AJ60" s="35">
        <f t="shared" si="56"/>
        <v>29714</v>
      </c>
      <c r="AK60" s="35">
        <v>28120</v>
      </c>
      <c r="AL60" s="35">
        <v>750</v>
      </c>
      <c r="AM60" s="35">
        <v>844</v>
      </c>
      <c r="AN60" s="35"/>
      <c r="AO60" s="35"/>
      <c r="AP60" s="35"/>
      <c r="AQ60" s="35"/>
      <c r="AR60" s="35"/>
      <c r="AS60" s="35"/>
      <c r="AT60" s="35"/>
      <c r="AU60" s="35"/>
      <c r="AV60" s="35"/>
      <c r="AW60" s="35">
        <f t="shared" si="1"/>
        <v>29714</v>
      </c>
      <c r="AX60" s="35">
        <f t="shared" si="2"/>
        <v>89142</v>
      </c>
      <c r="AY60" s="35">
        <v>28120</v>
      </c>
      <c r="AZ60" s="35">
        <v>750</v>
      </c>
      <c r="BA60" s="35">
        <v>844</v>
      </c>
      <c r="BB60" s="35"/>
      <c r="BC60" s="35"/>
      <c r="BD60" s="35"/>
      <c r="BE60" s="35"/>
      <c r="BF60" s="35"/>
      <c r="BG60" s="35"/>
      <c r="BH60" s="35"/>
      <c r="BI60" s="35"/>
      <c r="BJ60" s="35"/>
      <c r="BK60" s="35">
        <f t="shared" si="5"/>
        <v>29714</v>
      </c>
      <c r="BL60" s="35">
        <v>28120</v>
      </c>
      <c r="BM60" s="35">
        <v>750</v>
      </c>
      <c r="BN60" s="35">
        <v>844</v>
      </c>
      <c r="BO60" s="35"/>
      <c r="BP60" s="35"/>
      <c r="BQ60" s="35"/>
      <c r="BR60" s="35"/>
      <c r="BS60" s="35"/>
      <c r="BT60" s="35"/>
      <c r="BU60" s="35"/>
      <c r="BV60" s="35"/>
      <c r="BW60" s="35"/>
      <c r="BX60" s="35">
        <f t="shared" si="6"/>
        <v>29714</v>
      </c>
      <c r="BY60" s="35">
        <v>28120</v>
      </c>
      <c r="BZ60" s="35">
        <v>750</v>
      </c>
      <c r="CA60" s="35">
        <v>844</v>
      </c>
      <c r="CB60" s="35"/>
      <c r="CC60" s="35"/>
      <c r="CD60" s="35"/>
      <c r="CE60" s="35"/>
      <c r="CF60" s="35"/>
      <c r="CG60" s="35"/>
      <c r="CH60" s="35"/>
      <c r="CI60" s="35"/>
      <c r="CJ60" s="35"/>
      <c r="CK60" s="35">
        <f t="shared" si="7"/>
        <v>29714</v>
      </c>
      <c r="CL60" s="35">
        <f t="shared" si="8"/>
        <v>89142</v>
      </c>
      <c r="CM60" s="35">
        <v>29530</v>
      </c>
      <c r="CN60" s="35">
        <v>750</v>
      </c>
      <c r="CO60" s="35">
        <v>886</v>
      </c>
      <c r="CP60" s="35"/>
      <c r="CQ60" s="35"/>
      <c r="CR60" s="35"/>
      <c r="CS60" s="35"/>
      <c r="CT60" s="35"/>
      <c r="CU60" s="35"/>
      <c r="CV60" s="35"/>
      <c r="CW60" s="35"/>
      <c r="CX60" s="35"/>
      <c r="CY60" s="35">
        <f t="shared" si="9"/>
        <v>31166</v>
      </c>
      <c r="CZ60" s="35">
        <f>8460+29530</f>
        <v>37990</v>
      </c>
      <c r="DA60" s="35">
        <v>750</v>
      </c>
      <c r="DB60" s="35">
        <f>252+886</f>
        <v>1138</v>
      </c>
      <c r="DC60" s="35"/>
      <c r="DD60" s="35"/>
      <c r="DE60" s="35"/>
      <c r="DF60" s="35"/>
      <c r="DG60" s="35"/>
      <c r="DH60" s="35"/>
      <c r="DI60" s="35"/>
      <c r="DJ60" s="35"/>
      <c r="DK60" s="35"/>
      <c r="DL60" s="35">
        <f t="shared" si="3"/>
        <v>39878</v>
      </c>
      <c r="DM60" s="35">
        <v>29530</v>
      </c>
      <c r="DN60" s="35">
        <v>750</v>
      </c>
      <c r="DO60" s="35">
        <v>886</v>
      </c>
      <c r="DP60" s="35"/>
      <c r="DQ60" s="35"/>
      <c r="DR60" s="35"/>
      <c r="DS60" s="35"/>
      <c r="DT60" s="35"/>
      <c r="DU60" s="35"/>
      <c r="DV60" s="35"/>
      <c r="DW60" s="35"/>
      <c r="DX60" s="35"/>
      <c r="DY60" s="35">
        <f t="shared" si="10"/>
        <v>31166</v>
      </c>
      <c r="DZ60" s="35">
        <f t="shared" si="11"/>
        <v>102210</v>
      </c>
      <c r="EA60" s="35">
        <v>29530</v>
      </c>
      <c r="EB60" s="35">
        <v>750</v>
      </c>
      <c r="EC60" s="35">
        <v>886</v>
      </c>
      <c r="ED60" s="35"/>
      <c r="EE60" s="35"/>
      <c r="EF60" s="35"/>
      <c r="EG60" s="35"/>
      <c r="EH60" s="35"/>
      <c r="EI60" s="35"/>
      <c r="EJ60" s="35"/>
      <c r="EK60" s="35"/>
      <c r="EL60" s="35"/>
      <c r="EM60" s="35">
        <f t="shared" si="12"/>
        <v>31166</v>
      </c>
      <c r="EN60" s="35">
        <v>29530</v>
      </c>
      <c r="EO60" s="35">
        <v>750</v>
      </c>
      <c r="EP60" s="35">
        <v>886</v>
      </c>
      <c r="EQ60" s="35"/>
      <c r="ER60" s="35"/>
      <c r="ES60" s="35"/>
      <c r="ET60" s="35"/>
      <c r="EU60" s="35"/>
      <c r="EV60" s="35"/>
      <c r="EW60" s="35"/>
      <c r="EX60" s="35"/>
      <c r="EY60" s="35"/>
      <c r="EZ60" s="35">
        <f t="shared" si="4"/>
        <v>31166</v>
      </c>
      <c r="FA60" s="35">
        <v>29530</v>
      </c>
      <c r="FB60" s="35">
        <v>750</v>
      </c>
      <c r="FC60" s="35">
        <v>886</v>
      </c>
      <c r="FD60" s="35"/>
      <c r="FE60" s="35"/>
      <c r="FF60" s="35"/>
      <c r="FG60" s="35"/>
      <c r="FH60" s="35"/>
      <c r="FI60" s="35"/>
      <c r="FJ60" s="35"/>
      <c r="FK60" s="35"/>
      <c r="FL60" s="35"/>
      <c r="FM60" s="35">
        <f t="shared" si="13"/>
        <v>31166</v>
      </c>
      <c r="FN60" s="35">
        <f t="shared" si="14"/>
        <v>93498</v>
      </c>
      <c r="FO60" s="35">
        <f t="shared" si="15"/>
        <v>373992</v>
      </c>
    </row>
    <row r="61" spans="1:171" x14ac:dyDescent="0.35">
      <c r="A61" s="34"/>
      <c r="B61" s="40"/>
      <c r="C61" s="58"/>
      <c r="D61" s="79" t="s">
        <v>167</v>
      </c>
      <c r="E61" s="40" t="s">
        <v>8</v>
      </c>
      <c r="F61" s="58" t="s">
        <v>17</v>
      </c>
      <c r="G61" s="58"/>
      <c r="H61" s="58"/>
      <c r="I61" s="58"/>
      <c r="J61" s="58"/>
      <c r="K61" s="35">
        <v>33750</v>
      </c>
      <c r="L61" s="35">
        <v>750</v>
      </c>
      <c r="M61" s="35">
        <v>1013</v>
      </c>
      <c r="N61" s="35"/>
      <c r="O61" s="35"/>
      <c r="P61" s="35"/>
      <c r="Q61" s="35"/>
      <c r="R61" s="35"/>
      <c r="S61" s="35"/>
      <c r="T61" s="35"/>
      <c r="U61" s="35"/>
      <c r="V61" s="35"/>
      <c r="W61" s="35">
        <f t="shared" si="16"/>
        <v>35513</v>
      </c>
      <c r="X61" s="35">
        <v>33750</v>
      </c>
      <c r="Y61" s="35">
        <v>750</v>
      </c>
      <c r="Z61" s="35">
        <v>1013</v>
      </c>
      <c r="AA61" s="35"/>
      <c r="AB61" s="35"/>
      <c r="AC61" s="35"/>
      <c r="AD61" s="35"/>
      <c r="AE61" s="35"/>
      <c r="AF61" s="35"/>
      <c r="AG61" s="35"/>
      <c r="AH61" s="35"/>
      <c r="AI61" s="35"/>
      <c r="AJ61" s="35">
        <f t="shared" si="56"/>
        <v>35513</v>
      </c>
      <c r="AK61" s="35">
        <v>33750</v>
      </c>
      <c r="AL61" s="35">
        <v>750</v>
      </c>
      <c r="AM61" s="35">
        <v>1013</v>
      </c>
      <c r="AN61" s="35"/>
      <c r="AO61" s="35"/>
      <c r="AP61" s="35"/>
      <c r="AQ61" s="35"/>
      <c r="AR61" s="35"/>
      <c r="AS61" s="35"/>
      <c r="AT61" s="35"/>
      <c r="AU61" s="35"/>
      <c r="AV61" s="35"/>
      <c r="AW61" s="35">
        <f t="shared" si="1"/>
        <v>35513</v>
      </c>
      <c r="AX61" s="35">
        <f t="shared" si="2"/>
        <v>106539</v>
      </c>
      <c r="AY61" s="35">
        <v>33750</v>
      </c>
      <c r="AZ61" s="35">
        <v>750</v>
      </c>
      <c r="BA61" s="35">
        <v>1013</v>
      </c>
      <c r="BB61" s="35"/>
      <c r="BC61" s="35"/>
      <c r="BD61" s="35"/>
      <c r="BE61" s="35"/>
      <c r="BF61" s="35"/>
      <c r="BG61" s="35"/>
      <c r="BH61" s="35"/>
      <c r="BI61" s="35"/>
      <c r="BJ61" s="35"/>
      <c r="BK61" s="35">
        <f t="shared" si="5"/>
        <v>35513</v>
      </c>
      <c r="BL61" s="35">
        <v>33750</v>
      </c>
      <c r="BM61" s="35">
        <v>750</v>
      </c>
      <c r="BN61" s="35">
        <v>1013</v>
      </c>
      <c r="BO61" s="35"/>
      <c r="BP61" s="35"/>
      <c r="BQ61" s="35"/>
      <c r="BR61" s="35"/>
      <c r="BS61" s="35"/>
      <c r="BT61" s="35"/>
      <c r="BU61" s="35"/>
      <c r="BV61" s="35"/>
      <c r="BW61" s="35"/>
      <c r="BX61" s="35">
        <f t="shared" si="6"/>
        <v>35513</v>
      </c>
      <c r="BY61" s="35">
        <v>33750</v>
      </c>
      <c r="BZ61" s="35">
        <v>750</v>
      </c>
      <c r="CA61" s="35">
        <v>1013</v>
      </c>
      <c r="CB61" s="35"/>
      <c r="CC61" s="35"/>
      <c r="CD61" s="35"/>
      <c r="CE61" s="35"/>
      <c r="CF61" s="35"/>
      <c r="CG61" s="35"/>
      <c r="CH61" s="35"/>
      <c r="CI61" s="35"/>
      <c r="CJ61" s="35"/>
      <c r="CK61" s="35">
        <f t="shared" si="7"/>
        <v>35513</v>
      </c>
      <c r="CL61" s="35">
        <f t="shared" si="8"/>
        <v>106539</v>
      </c>
      <c r="CM61" s="35">
        <v>35440</v>
      </c>
      <c r="CN61" s="35">
        <v>750</v>
      </c>
      <c r="CO61" s="35">
        <v>1063</v>
      </c>
      <c r="CP61" s="35"/>
      <c r="CQ61" s="35"/>
      <c r="CR61" s="35"/>
      <c r="CS61" s="35"/>
      <c r="CT61" s="35"/>
      <c r="CU61" s="35"/>
      <c r="CV61" s="35"/>
      <c r="CW61" s="35"/>
      <c r="CX61" s="35"/>
      <c r="CY61" s="35">
        <f t="shared" si="9"/>
        <v>37253</v>
      </c>
      <c r="CZ61" s="35">
        <f>10140+35440</f>
        <v>45580</v>
      </c>
      <c r="DA61" s="35">
        <v>750</v>
      </c>
      <c r="DB61" s="35">
        <f>306+1063</f>
        <v>1369</v>
      </c>
      <c r="DC61" s="35"/>
      <c r="DD61" s="35"/>
      <c r="DE61" s="35"/>
      <c r="DF61" s="35"/>
      <c r="DG61" s="35"/>
      <c r="DH61" s="35"/>
      <c r="DI61" s="35"/>
      <c r="DJ61" s="35"/>
      <c r="DK61" s="35"/>
      <c r="DL61" s="35">
        <f t="shared" si="3"/>
        <v>47699</v>
      </c>
      <c r="DM61" s="35">
        <v>35440</v>
      </c>
      <c r="DN61" s="35">
        <v>750</v>
      </c>
      <c r="DO61" s="35">
        <v>1063</v>
      </c>
      <c r="DP61" s="35"/>
      <c r="DQ61" s="35"/>
      <c r="DR61" s="35"/>
      <c r="DS61" s="35"/>
      <c r="DT61" s="35"/>
      <c r="DU61" s="35"/>
      <c r="DV61" s="35"/>
      <c r="DW61" s="35"/>
      <c r="DX61" s="35"/>
      <c r="DY61" s="35">
        <f t="shared" si="10"/>
        <v>37253</v>
      </c>
      <c r="DZ61" s="35">
        <f t="shared" si="11"/>
        <v>122205</v>
      </c>
      <c r="EA61" s="35">
        <v>35440</v>
      </c>
      <c r="EB61" s="35">
        <v>750</v>
      </c>
      <c r="EC61" s="35">
        <v>1063</v>
      </c>
      <c r="ED61" s="35"/>
      <c r="EE61" s="35"/>
      <c r="EF61" s="35"/>
      <c r="EG61" s="35"/>
      <c r="EH61" s="35"/>
      <c r="EI61" s="35"/>
      <c r="EJ61" s="35"/>
      <c r="EK61" s="35"/>
      <c r="EL61" s="35"/>
      <c r="EM61" s="35">
        <f t="shared" si="12"/>
        <v>37253</v>
      </c>
      <c r="EN61" s="35">
        <v>35440</v>
      </c>
      <c r="EO61" s="35">
        <v>750</v>
      </c>
      <c r="EP61" s="35">
        <v>1063</v>
      </c>
      <c r="EQ61" s="35"/>
      <c r="ER61" s="35"/>
      <c r="ES61" s="35"/>
      <c r="ET61" s="35"/>
      <c r="EU61" s="35"/>
      <c r="EV61" s="35"/>
      <c r="EW61" s="35"/>
      <c r="EX61" s="35"/>
      <c r="EY61" s="35"/>
      <c r="EZ61" s="35">
        <f t="shared" si="4"/>
        <v>37253</v>
      </c>
      <c r="FA61" s="35">
        <v>35440</v>
      </c>
      <c r="FB61" s="35">
        <v>750</v>
      </c>
      <c r="FC61" s="35">
        <v>1063</v>
      </c>
      <c r="FD61" s="35"/>
      <c r="FE61" s="35"/>
      <c r="FF61" s="35"/>
      <c r="FG61" s="35"/>
      <c r="FH61" s="35"/>
      <c r="FI61" s="35"/>
      <c r="FJ61" s="35"/>
      <c r="FK61" s="35"/>
      <c r="FL61" s="35"/>
      <c r="FM61" s="35">
        <f t="shared" si="13"/>
        <v>37253</v>
      </c>
      <c r="FN61" s="35">
        <f t="shared" si="14"/>
        <v>111759</v>
      </c>
      <c r="FO61" s="35">
        <f t="shared" si="15"/>
        <v>447042</v>
      </c>
    </row>
    <row r="62" spans="1:171" x14ac:dyDescent="0.35">
      <c r="A62" s="34"/>
      <c r="B62" s="40"/>
      <c r="C62" s="58"/>
      <c r="D62" s="79" t="s">
        <v>168</v>
      </c>
      <c r="E62" s="40" t="s">
        <v>8</v>
      </c>
      <c r="F62" s="58" t="s">
        <v>17</v>
      </c>
      <c r="G62" s="58"/>
      <c r="H62" s="58"/>
      <c r="I62" s="58"/>
      <c r="J62" s="58"/>
      <c r="K62" s="35">
        <v>27650</v>
      </c>
      <c r="L62" s="35">
        <v>750</v>
      </c>
      <c r="M62" s="35">
        <v>0</v>
      </c>
      <c r="N62" s="35"/>
      <c r="O62" s="35"/>
      <c r="P62" s="35"/>
      <c r="Q62" s="35"/>
      <c r="R62" s="35"/>
      <c r="S62" s="35"/>
      <c r="T62" s="35"/>
      <c r="U62" s="35"/>
      <c r="V62" s="35"/>
      <c r="W62" s="35">
        <f t="shared" si="16"/>
        <v>28400</v>
      </c>
      <c r="X62" s="35">
        <v>27650</v>
      </c>
      <c r="Y62" s="35">
        <v>750</v>
      </c>
      <c r="Z62" s="35">
        <v>0</v>
      </c>
      <c r="AA62" s="35"/>
      <c r="AB62" s="35"/>
      <c r="AC62" s="35"/>
      <c r="AD62" s="35"/>
      <c r="AE62" s="35"/>
      <c r="AF62" s="35"/>
      <c r="AG62" s="35"/>
      <c r="AH62" s="35"/>
      <c r="AI62" s="35"/>
      <c r="AJ62" s="35">
        <f t="shared" si="56"/>
        <v>28400</v>
      </c>
      <c r="AK62" s="35">
        <v>27650</v>
      </c>
      <c r="AL62" s="35">
        <v>750</v>
      </c>
      <c r="AM62" s="35">
        <v>0</v>
      </c>
      <c r="AN62" s="35"/>
      <c r="AO62" s="35"/>
      <c r="AP62" s="35"/>
      <c r="AQ62" s="35"/>
      <c r="AR62" s="35"/>
      <c r="AS62" s="35"/>
      <c r="AT62" s="35"/>
      <c r="AU62" s="35"/>
      <c r="AV62" s="35"/>
      <c r="AW62" s="35">
        <f t="shared" si="1"/>
        <v>28400</v>
      </c>
      <c r="AX62" s="35">
        <f t="shared" si="2"/>
        <v>85200</v>
      </c>
      <c r="AY62" s="35">
        <v>27650</v>
      </c>
      <c r="AZ62" s="35">
        <v>750</v>
      </c>
      <c r="BA62" s="35">
        <v>0</v>
      </c>
      <c r="BB62" s="35"/>
      <c r="BC62" s="35"/>
      <c r="BD62" s="35"/>
      <c r="BE62" s="35"/>
      <c r="BF62" s="35"/>
      <c r="BG62" s="35"/>
      <c r="BH62" s="35"/>
      <c r="BI62" s="35"/>
      <c r="BJ62" s="35"/>
      <c r="BK62" s="35">
        <f t="shared" si="5"/>
        <v>28400</v>
      </c>
      <c r="BL62" s="35">
        <v>27650</v>
      </c>
      <c r="BM62" s="35">
        <v>750</v>
      </c>
      <c r="BN62" s="35">
        <v>0</v>
      </c>
      <c r="BO62" s="35"/>
      <c r="BP62" s="35"/>
      <c r="BQ62" s="35"/>
      <c r="BR62" s="35"/>
      <c r="BS62" s="35"/>
      <c r="BT62" s="35"/>
      <c r="BU62" s="35"/>
      <c r="BV62" s="35"/>
      <c r="BW62" s="35"/>
      <c r="BX62" s="35">
        <f t="shared" si="6"/>
        <v>28400</v>
      </c>
      <c r="BY62" s="35">
        <v>27650</v>
      </c>
      <c r="BZ62" s="35">
        <v>750</v>
      </c>
      <c r="CA62" s="35">
        <v>0</v>
      </c>
      <c r="CB62" s="35"/>
      <c r="CC62" s="35"/>
      <c r="CD62" s="35"/>
      <c r="CE62" s="35"/>
      <c r="CF62" s="35"/>
      <c r="CG62" s="35"/>
      <c r="CH62" s="35"/>
      <c r="CI62" s="35"/>
      <c r="CJ62" s="35"/>
      <c r="CK62" s="35">
        <f t="shared" si="7"/>
        <v>28400</v>
      </c>
      <c r="CL62" s="35">
        <f t="shared" si="8"/>
        <v>85200</v>
      </c>
      <c r="CM62" s="35">
        <v>29040</v>
      </c>
      <c r="CN62" s="35">
        <v>750</v>
      </c>
      <c r="CO62" s="35">
        <v>0</v>
      </c>
      <c r="CP62" s="35"/>
      <c r="CQ62" s="35"/>
      <c r="CR62" s="35"/>
      <c r="CS62" s="35"/>
      <c r="CT62" s="35"/>
      <c r="CU62" s="35"/>
      <c r="CV62" s="35"/>
      <c r="CW62" s="35"/>
      <c r="CX62" s="35"/>
      <c r="CY62" s="35">
        <f t="shared" si="9"/>
        <v>29790</v>
      </c>
      <c r="CZ62" s="35">
        <f>8340+29040</f>
        <v>37380</v>
      </c>
      <c r="DA62" s="35">
        <v>750</v>
      </c>
      <c r="DB62" s="35">
        <v>0</v>
      </c>
      <c r="DC62" s="35"/>
      <c r="DD62" s="35"/>
      <c r="DE62" s="35"/>
      <c r="DF62" s="35"/>
      <c r="DG62" s="35"/>
      <c r="DH62" s="35"/>
      <c r="DI62" s="35"/>
      <c r="DJ62" s="35"/>
      <c r="DK62" s="35"/>
      <c r="DL62" s="35">
        <f t="shared" si="3"/>
        <v>38130</v>
      </c>
      <c r="DM62" s="35">
        <v>29040</v>
      </c>
      <c r="DN62" s="35">
        <v>750</v>
      </c>
      <c r="DO62" s="35">
        <v>0</v>
      </c>
      <c r="DP62" s="35"/>
      <c r="DQ62" s="35"/>
      <c r="DR62" s="35"/>
      <c r="DS62" s="35"/>
      <c r="DT62" s="35"/>
      <c r="DU62" s="35"/>
      <c r="DV62" s="35"/>
      <c r="DW62" s="35"/>
      <c r="DX62" s="35"/>
      <c r="DY62" s="35">
        <f t="shared" si="10"/>
        <v>29790</v>
      </c>
      <c r="DZ62" s="35">
        <f t="shared" si="11"/>
        <v>97710</v>
      </c>
      <c r="EA62" s="35">
        <v>29040</v>
      </c>
      <c r="EB62" s="35">
        <v>750</v>
      </c>
      <c r="EC62" s="35">
        <v>0</v>
      </c>
      <c r="ED62" s="35"/>
      <c r="EE62" s="35"/>
      <c r="EF62" s="35"/>
      <c r="EG62" s="35"/>
      <c r="EH62" s="35"/>
      <c r="EI62" s="35"/>
      <c r="EJ62" s="35"/>
      <c r="EK62" s="35"/>
      <c r="EL62" s="35"/>
      <c r="EM62" s="35">
        <f t="shared" si="12"/>
        <v>29790</v>
      </c>
      <c r="EN62" s="35">
        <v>29040</v>
      </c>
      <c r="EO62" s="35">
        <v>750</v>
      </c>
      <c r="EP62" s="35">
        <v>0</v>
      </c>
      <c r="EQ62" s="35"/>
      <c r="ER62" s="35"/>
      <c r="ES62" s="35"/>
      <c r="ET62" s="35"/>
      <c r="EU62" s="35"/>
      <c r="EV62" s="35"/>
      <c r="EW62" s="35"/>
      <c r="EX62" s="35"/>
      <c r="EY62" s="35"/>
      <c r="EZ62" s="35">
        <f t="shared" si="4"/>
        <v>29790</v>
      </c>
      <c r="FA62" s="35">
        <v>29040</v>
      </c>
      <c r="FB62" s="35">
        <v>750</v>
      </c>
      <c r="FC62" s="35">
        <v>0</v>
      </c>
      <c r="FD62" s="35"/>
      <c r="FE62" s="35"/>
      <c r="FF62" s="35"/>
      <c r="FG62" s="35"/>
      <c r="FH62" s="35"/>
      <c r="FI62" s="35"/>
      <c r="FJ62" s="35"/>
      <c r="FK62" s="35"/>
      <c r="FL62" s="35"/>
      <c r="FM62" s="35">
        <f t="shared" si="13"/>
        <v>29790</v>
      </c>
      <c r="FN62" s="35">
        <f t="shared" si="14"/>
        <v>89370</v>
      </c>
      <c r="FO62" s="35">
        <f t="shared" si="15"/>
        <v>357480</v>
      </c>
    </row>
    <row r="63" spans="1:171" x14ac:dyDescent="0.35">
      <c r="A63" s="34"/>
      <c r="B63" s="40"/>
      <c r="C63" s="58"/>
      <c r="D63" s="79" t="s">
        <v>169</v>
      </c>
      <c r="E63" s="58" t="s">
        <v>9</v>
      </c>
      <c r="F63" s="58" t="s">
        <v>17</v>
      </c>
      <c r="G63" s="58"/>
      <c r="H63" s="58"/>
      <c r="I63" s="58"/>
      <c r="J63" s="58"/>
      <c r="K63" s="35"/>
      <c r="L63" s="35"/>
      <c r="M63" s="35"/>
      <c r="N63" s="35">
        <v>19980</v>
      </c>
      <c r="O63" s="35">
        <v>750</v>
      </c>
      <c r="P63" s="35">
        <v>599</v>
      </c>
      <c r="Q63" s="35"/>
      <c r="R63" s="35"/>
      <c r="S63" s="35"/>
      <c r="T63" s="35"/>
      <c r="U63" s="35"/>
      <c r="V63" s="35"/>
      <c r="W63" s="35">
        <f t="shared" si="16"/>
        <v>21329</v>
      </c>
      <c r="X63" s="35"/>
      <c r="Y63" s="35"/>
      <c r="Z63" s="35"/>
      <c r="AA63" s="35">
        <v>19980</v>
      </c>
      <c r="AB63" s="35">
        <v>750</v>
      </c>
      <c r="AC63" s="35">
        <v>599</v>
      </c>
      <c r="AD63" s="35"/>
      <c r="AE63" s="35"/>
      <c r="AF63" s="35"/>
      <c r="AG63" s="35"/>
      <c r="AH63" s="35"/>
      <c r="AI63" s="35"/>
      <c r="AJ63" s="35">
        <f t="shared" si="56"/>
        <v>21329</v>
      </c>
      <c r="AK63" s="35"/>
      <c r="AL63" s="35"/>
      <c r="AM63" s="35"/>
      <c r="AN63" s="35">
        <v>19980</v>
      </c>
      <c r="AO63" s="35">
        <v>750</v>
      </c>
      <c r="AP63" s="35">
        <v>599</v>
      </c>
      <c r="AQ63" s="35"/>
      <c r="AR63" s="35"/>
      <c r="AS63" s="35"/>
      <c r="AT63" s="35"/>
      <c r="AU63" s="35"/>
      <c r="AV63" s="35"/>
      <c r="AW63" s="35">
        <f t="shared" si="1"/>
        <v>21329</v>
      </c>
      <c r="AX63" s="35">
        <f t="shared" si="2"/>
        <v>63987</v>
      </c>
      <c r="AY63" s="35"/>
      <c r="AZ63" s="35"/>
      <c r="BA63" s="35"/>
      <c r="BB63" s="35">
        <v>19980</v>
      </c>
      <c r="BC63" s="35">
        <v>750</v>
      </c>
      <c r="BD63" s="35">
        <v>599</v>
      </c>
      <c r="BE63" s="35"/>
      <c r="BF63" s="35"/>
      <c r="BG63" s="35"/>
      <c r="BH63" s="35"/>
      <c r="BI63" s="35"/>
      <c r="BJ63" s="35"/>
      <c r="BK63" s="35">
        <f t="shared" si="5"/>
        <v>21329</v>
      </c>
      <c r="BL63" s="35"/>
      <c r="BM63" s="35"/>
      <c r="BN63" s="35"/>
      <c r="BO63" s="35">
        <v>19980</v>
      </c>
      <c r="BP63" s="35">
        <v>750</v>
      </c>
      <c r="BQ63" s="35">
        <v>599</v>
      </c>
      <c r="BR63" s="35"/>
      <c r="BS63" s="35"/>
      <c r="BT63" s="35"/>
      <c r="BU63" s="35"/>
      <c r="BV63" s="35"/>
      <c r="BW63" s="35"/>
      <c r="BX63" s="35">
        <f t="shared" si="6"/>
        <v>21329</v>
      </c>
      <c r="BY63" s="35"/>
      <c r="BZ63" s="35"/>
      <c r="CA63" s="35"/>
      <c r="CB63" s="35">
        <v>19980</v>
      </c>
      <c r="CC63" s="35">
        <v>750</v>
      </c>
      <c r="CD63" s="35">
        <v>599</v>
      </c>
      <c r="CE63" s="35"/>
      <c r="CF63" s="35"/>
      <c r="CG63" s="35"/>
      <c r="CH63" s="35"/>
      <c r="CI63" s="35"/>
      <c r="CJ63" s="35"/>
      <c r="CK63" s="35">
        <f t="shared" si="7"/>
        <v>21329</v>
      </c>
      <c r="CL63" s="35">
        <f t="shared" si="8"/>
        <v>63987</v>
      </c>
      <c r="CM63" s="35"/>
      <c r="CN63" s="35"/>
      <c r="CO63" s="35"/>
      <c r="CP63" s="35">
        <v>20980</v>
      </c>
      <c r="CQ63" s="35">
        <v>750</v>
      </c>
      <c r="CR63" s="35">
        <v>629</v>
      </c>
      <c r="CS63" s="35"/>
      <c r="CT63" s="35"/>
      <c r="CU63" s="35"/>
      <c r="CV63" s="35"/>
      <c r="CW63" s="35"/>
      <c r="CX63" s="35"/>
      <c r="CY63" s="35">
        <f t="shared" si="9"/>
        <v>22359</v>
      </c>
      <c r="CZ63" s="35"/>
      <c r="DA63" s="35">
        <f>0.52</f>
        <v>0.52</v>
      </c>
      <c r="DB63" s="35">
        <v>0</v>
      </c>
      <c r="DC63" s="35">
        <f>6000+20980</f>
        <v>26980</v>
      </c>
      <c r="DD63" s="35">
        <v>750</v>
      </c>
      <c r="DE63" s="35">
        <f>180+629</f>
        <v>809</v>
      </c>
      <c r="DF63" s="35"/>
      <c r="DG63" s="35"/>
      <c r="DH63" s="35"/>
      <c r="DI63" s="35"/>
      <c r="DJ63" s="35"/>
      <c r="DK63" s="35"/>
      <c r="DL63" s="35">
        <f t="shared" si="3"/>
        <v>28539.52</v>
      </c>
      <c r="DM63" s="35"/>
      <c r="DN63" s="35"/>
      <c r="DO63" s="35"/>
      <c r="DP63" s="35">
        <v>20980</v>
      </c>
      <c r="DQ63" s="35">
        <v>750</v>
      </c>
      <c r="DR63" s="35">
        <v>629</v>
      </c>
      <c r="DS63" s="35"/>
      <c r="DT63" s="35"/>
      <c r="DU63" s="35"/>
      <c r="DV63" s="35"/>
      <c r="DW63" s="35"/>
      <c r="DX63" s="35"/>
      <c r="DY63" s="35">
        <f t="shared" si="10"/>
        <v>22359</v>
      </c>
      <c r="DZ63" s="35">
        <f t="shared" si="11"/>
        <v>73257.52</v>
      </c>
      <c r="EA63" s="35"/>
      <c r="EB63" s="35"/>
      <c r="EC63" s="35"/>
      <c r="ED63" s="35">
        <v>20980</v>
      </c>
      <c r="EE63" s="35">
        <v>750</v>
      </c>
      <c r="EF63" s="35">
        <v>629</v>
      </c>
      <c r="EG63" s="35"/>
      <c r="EH63" s="35"/>
      <c r="EI63" s="35"/>
      <c r="EJ63" s="35"/>
      <c r="EK63" s="35"/>
      <c r="EL63" s="35"/>
      <c r="EM63" s="35">
        <f t="shared" si="12"/>
        <v>22359</v>
      </c>
      <c r="EN63" s="35"/>
      <c r="EO63" s="35"/>
      <c r="EP63" s="35"/>
      <c r="EQ63" s="35">
        <v>20980</v>
      </c>
      <c r="ER63" s="35">
        <v>750</v>
      </c>
      <c r="ES63" s="35">
        <v>629</v>
      </c>
      <c r="ET63" s="35"/>
      <c r="EU63" s="35"/>
      <c r="EV63" s="35"/>
      <c r="EW63" s="35"/>
      <c r="EX63" s="35"/>
      <c r="EY63" s="35"/>
      <c r="EZ63" s="35">
        <f t="shared" si="4"/>
        <v>22359</v>
      </c>
      <c r="FA63" s="35"/>
      <c r="FB63" s="35"/>
      <c r="FC63" s="35"/>
      <c r="FD63" s="35">
        <v>20980</v>
      </c>
      <c r="FE63" s="35">
        <v>750</v>
      </c>
      <c r="FF63" s="35">
        <v>629</v>
      </c>
      <c r="FG63" s="35"/>
      <c r="FH63" s="35"/>
      <c r="FI63" s="35"/>
      <c r="FJ63" s="35"/>
      <c r="FK63" s="35"/>
      <c r="FL63" s="35"/>
      <c r="FM63" s="35">
        <f t="shared" si="13"/>
        <v>22359</v>
      </c>
      <c r="FN63" s="35">
        <f t="shared" si="14"/>
        <v>67077</v>
      </c>
      <c r="FO63" s="35">
        <f t="shared" si="15"/>
        <v>268308.52</v>
      </c>
    </row>
    <row r="64" spans="1:171" x14ac:dyDescent="0.35">
      <c r="A64" s="34"/>
      <c r="B64" s="40"/>
      <c r="C64" s="58"/>
      <c r="D64" s="79" t="s">
        <v>170</v>
      </c>
      <c r="E64" s="40" t="s">
        <v>8</v>
      </c>
      <c r="F64" s="58" t="s">
        <v>17</v>
      </c>
      <c r="G64" s="58"/>
      <c r="H64" s="58"/>
      <c r="I64" s="58"/>
      <c r="J64" s="58"/>
      <c r="K64" s="35">
        <v>27300</v>
      </c>
      <c r="L64" s="35">
        <v>750</v>
      </c>
      <c r="M64" s="35">
        <v>0</v>
      </c>
      <c r="N64" s="35"/>
      <c r="O64" s="35"/>
      <c r="P64" s="35"/>
      <c r="Q64" s="35"/>
      <c r="R64" s="35"/>
      <c r="S64" s="35"/>
      <c r="T64" s="35"/>
      <c r="U64" s="35"/>
      <c r="V64" s="35"/>
      <c r="W64" s="35">
        <f t="shared" si="16"/>
        <v>28050</v>
      </c>
      <c r="X64" s="35">
        <v>27300</v>
      </c>
      <c r="Y64" s="35">
        <v>750</v>
      </c>
      <c r="Z64" s="35">
        <v>0</v>
      </c>
      <c r="AA64" s="35"/>
      <c r="AB64" s="35"/>
      <c r="AC64" s="35"/>
      <c r="AD64" s="35"/>
      <c r="AE64" s="35"/>
      <c r="AF64" s="35"/>
      <c r="AG64" s="35"/>
      <c r="AH64" s="35"/>
      <c r="AI64" s="35"/>
      <c r="AJ64" s="35">
        <f t="shared" si="56"/>
        <v>28050</v>
      </c>
      <c r="AK64" s="35">
        <v>27300</v>
      </c>
      <c r="AL64" s="35">
        <v>750</v>
      </c>
      <c r="AM64" s="35">
        <v>0</v>
      </c>
      <c r="AN64" s="35"/>
      <c r="AO64" s="35"/>
      <c r="AP64" s="35"/>
      <c r="AQ64" s="35"/>
      <c r="AR64" s="35"/>
      <c r="AS64" s="35"/>
      <c r="AT64" s="35"/>
      <c r="AU64" s="35"/>
      <c r="AV64" s="35"/>
      <c r="AW64" s="35">
        <f t="shared" si="1"/>
        <v>28050</v>
      </c>
      <c r="AX64" s="35">
        <f t="shared" si="2"/>
        <v>84150</v>
      </c>
      <c r="AY64" s="35">
        <v>27300</v>
      </c>
      <c r="AZ64" s="35">
        <v>750</v>
      </c>
      <c r="BA64" s="35">
        <v>0</v>
      </c>
      <c r="BB64" s="35"/>
      <c r="BC64" s="35"/>
      <c r="BD64" s="35"/>
      <c r="BE64" s="35"/>
      <c r="BF64" s="35"/>
      <c r="BG64" s="35"/>
      <c r="BH64" s="35"/>
      <c r="BI64" s="35"/>
      <c r="BJ64" s="35"/>
      <c r="BK64" s="35">
        <f t="shared" si="5"/>
        <v>28050</v>
      </c>
      <c r="BL64" s="35">
        <v>27300</v>
      </c>
      <c r="BM64" s="35">
        <v>750</v>
      </c>
      <c r="BN64" s="35">
        <v>0</v>
      </c>
      <c r="BO64" s="35"/>
      <c r="BP64" s="35"/>
      <c r="BQ64" s="35"/>
      <c r="BR64" s="35"/>
      <c r="BS64" s="35"/>
      <c r="BT64" s="35"/>
      <c r="BU64" s="35"/>
      <c r="BV64" s="35"/>
      <c r="BW64" s="35"/>
      <c r="BX64" s="35">
        <f t="shared" si="6"/>
        <v>28050</v>
      </c>
      <c r="BY64" s="35">
        <v>27300</v>
      </c>
      <c r="BZ64" s="35">
        <v>750</v>
      </c>
      <c r="CA64" s="35">
        <v>0</v>
      </c>
      <c r="CB64" s="35"/>
      <c r="CC64" s="35"/>
      <c r="CD64" s="35"/>
      <c r="CE64" s="35"/>
      <c r="CF64" s="35"/>
      <c r="CG64" s="35"/>
      <c r="CH64" s="35"/>
      <c r="CI64" s="35"/>
      <c r="CJ64" s="35"/>
      <c r="CK64" s="35">
        <f t="shared" si="7"/>
        <v>28050</v>
      </c>
      <c r="CL64" s="35">
        <f t="shared" si="8"/>
        <v>84150</v>
      </c>
      <c r="CM64" s="35">
        <v>28590</v>
      </c>
      <c r="CN64" s="35">
        <v>750</v>
      </c>
      <c r="CO64" s="35">
        <v>0</v>
      </c>
      <c r="CP64" s="35"/>
      <c r="CQ64" s="35"/>
      <c r="CR64" s="35"/>
      <c r="CS64" s="35"/>
      <c r="CT64" s="35"/>
      <c r="CU64" s="35"/>
      <c r="CV64" s="35"/>
      <c r="CW64" s="35"/>
      <c r="CX64" s="35"/>
      <c r="CY64" s="35">
        <f t="shared" si="9"/>
        <v>29340</v>
      </c>
      <c r="CZ64" s="35">
        <f>7740+28590</f>
        <v>36330</v>
      </c>
      <c r="DA64" s="35">
        <v>750</v>
      </c>
      <c r="DB64" s="35">
        <v>0</v>
      </c>
      <c r="DC64" s="35"/>
      <c r="DD64" s="35"/>
      <c r="DE64" s="35"/>
      <c r="DF64" s="35"/>
      <c r="DG64" s="35"/>
      <c r="DH64" s="35"/>
      <c r="DI64" s="35"/>
      <c r="DJ64" s="35"/>
      <c r="DK64" s="35"/>
      <c r="DL64" s="35">
        <f t="shared" si="3"/>
        <v>37080</v>
      </c>
      <c r="DM64" s="35">
        <v>28590</v>
      </c>
      <c r="DN64" s="35">
        <v>750</v>
      </c>
      <c r="DO64" s="35">
        <v>0</v>
      </c>
      <c r="DP64" s="35"/>
      <c r="DQ64" s="35"/>
      <c r="DR64" s="35"/>
      <c r="DS64" s="35"/>
      <c r="DT64" s="35"/>
      <c r="DU64" s="35"/>
      <c r="DV64" s="35"/>
      <c r="DW64" s="35"/>
      <c r="DX64" s="35"/>
      <c r="DY64" s="35">
        <f t="shared" si="10"/>
        <v>29340</v>
      </c>
      <c r="DZ64" s="35">
        <f t="shared" si="11"/>
        <v>95760</v>
      </c>
      <c r="EA64" s="35">
        <v>28590</v>
      </c>
      <c r="EB64" s="35">
        <v>750</v>
      </c>
      <c r="EC64" s="35">
        <v>0</v>
      </c>
      <c r="ED64" s="35"/>
      <c r="EE64" s="35"/>
      <c r="EF64" s="35"/>
      <c r="EG64" s="35"/>
      <c r="EH64" s="35"/>
      <c r="EI64" s="35"/>
      <c r="EJ64" s="35"/>
      <c r="EK64" s="35"/>
      <c r="EL64" s="35"/>
      <c r="EM64" s="35">
        <f t="shared" si="12"/>
        <v>29340</v>
      </c>
      <c r="EN64" s="35">
        <v>28590</v>
      </c>
      <c r="EO64" s="35">
        <v>750</v>
      </c>
      <c r="EP64" s="35">
        <v>0</v>
      </c>
      <c r="EQ64" s="35"/>
      <c r="ER64" s="35"/>
      <c r="ES64" s="35"/>
      <c r="ET64" s="35"/>
      <c r="EU64" s="35"/>
      <c r="EV64" s="35"/>
      <c r="EW64" s="35"/>
      <c r="EX64" s="35"/>
      <c r="EY64" s="35"/>
      <c r="EZ64" s="35">
        <f t="shared" si="4"/>
        <v>29340</v>
      </c>
      <c r="FA64" s="35">
        <v>28590</v>
      </c>
      <c r="FB64" s="35">
        <v>750</v>
      </c>
      <c r="FC64" s="35">
        <v>0</v>
      </c>
      <c r="FD64" s="35"/>
      <c r="FE64" s="35"/>
      <c r="FF64" s="35"/>
      <c r="FG64" s="35"/>
      <c r="FH64" s="35"/>
      <c r="FI64" s="35"/>
      <c r="FJ64" s="35"/>
      <c r="FK64" s="35"/>
      <c r="FL64" s="35"/>
      <c r="FM64" s="35">
        <f t="shared" si="13"/>
        <v>29340</v>
      </c>
      <c r="FN64" s="35">
        <f t="shared" si="14"/>
        <v>88020</v>
      </c>
      <c r="FO64" s="35">
        <f t="shared" si="15"/>
        <v>352080</v>
      </c>
    </row>
    <row r="65" spans="1:171" x14ac:dyDescent="0.35">
      <c r="A65" s="34"/>
      <c r="B65" s="40"/>
      <c r="C65" s="58"/>
      <c r="D65" s="79" t="s">
        <v>242</v>
      </c>
      <c r="E65" s="40" t="s">
        <v>8</v>
      </c>
      <c r="F65" s="58" t="s">
        <v>17</v>
      </c>
      <c r="G65" s="58"/>
      <c r="H65" s="58"/>
      <c r="I65" s="58"/>
      <c r="J65" s="58"/>
      <c r="K65" s="35">
        <v>26660</v>
      </c>
      <c r="L65" s="35">
        <v>750</v>
      </c>
      <c r="M65" s="35">
        <v>0</v>
      </c>
      <c r="N65" s="35"/>
      <c r="O65" s="35"/>
      <c r="P65" s="35"/>
      <c r="Q65" s="35"/>
      <c r="R65" s="35"/>
      <c r="S65" s="35"/>
      <c r="T65" s="35"/>
      <c r="U65" s="35"/>
      <c r="V65" s="35"/>
      <c r="W65" s="35">
        <f>SUM(K65:V65)</f>
        <v>27410</v>
      </c>
      <c r="X65" s="35">
        <v>26660</v>
      </c>
      <c r="Y65" s="35">
        <v>750</v>
      </c>
      <c r="Z65" s="35">
        <v>0</v>
      </c>
      <c r="AA65" s="35"/>
      <c r="AB65" s="35"/>
      <c r="AC65" s="35"/>
      <c r="AD65" s="35"/>
      <c r="AE65" s="35"/>
      <c r="AF65" s="35"/>
      <c r="AG65" s="35"/>
      <c r="AH65" s="35"/>
      <c r="AI65" s="35"/>
      <c r="AJ65" s="35">
        <f>SUM(X65:AI65)</f>
        <v>27410</v>
      </c>
      <c r="AK65" s="35">
        <v>26660</v>
      </c>
      <c r="AL65" s="35">
        <v>750</v>
      </c>
      <c r="AM65" s="35">
        <v>0</v>
      </c>
      <c r="AN65" s="35"/>
      <c r="AO65" s="35"/>
      <c r="AP65" s="35"/>
      <c r="AQ65" s="35"/>
      <c r="AR65" s="35"/>
      <c r="AS65" s="35"/>
      <c r="AT65" s="35"/>
      <c r="AU65" s="35"/>
      <c r="AV65" s="35"/>
      <c r="AW65" s="35">
        <f t="shared" si="1"/>
        <v>27410</v>
      </c>
      <c r="AX65" s="35">
        <f t="shared" si="2"/>
        <v>82230</v>
      </c>
      <c r="AY65" s="35">
        <v>26660</v>
      </c>
      <c r="AZ65" s="35">
        <v>750</v>
      </c>
      <c r="BA65" s="35">
        <v>0</v>
      </c>
      <c r="BB65" s="35"/>
      <c r="BC65" s="35"/>
      <c r="BD65" s="35"/>
      <c r="BE65" s="35"/>
      <c r="BF65" s="35"/>
      <c r="BG65" s="35"/>
      <c r="BH65" s="35"/>
      <c r="BI65" s="35"/>
      <c r="BJ65" s="35"/>
      <c r="BK65" s="35">
        <f>SUM(AY65:BJ65)</f>
        <v>27410</v>
      </c>
      <c r="BL65" s="35">
        <v>26660</v>
      </c>
      <c r="BM65" s="35">
        <v>750</v>
      </c>
      <c r="BN65" s="35">
        <v>0</v>
      </c>
      <c r="BO65" s="35"/>
      <c r="BP65" s="35"/>
      <c r="BQ65" s="35"/>
      <c r="BR65" s="35"/>
      <c r="BS65" s="35"/>
      <c r="BT65" s="35"/>
      <c r="BU65" s="35"/>
      <c r="BV65" s="35"/>
      <c r="BW65" s="35"/>
      <c r="BX65" s="35">
        <f t="shared" ref="BX65" si="57">SUM(BL65:BW65)</f>
        <v>27410</v>
      </c>
      <c r="BY65" s="35">
        <v>26660</v>
      </c>
      <c r="BZ65" s="35">
        <v>750</v>
      </c>
      <c r="CA65" s="35">
        <v>0</v>
      </c>
      <c r="CB65" s="35"/>
      <c r="CC65" s="35"/>
      <c r="CD65" s="35"/>
      <c r="CE65" s="35"/>
      <c r="CF65" s="35"/>
      <c r="CG65" s="35"/>
      <c r="CH65" s="35"/>
      <c r="CI65" s="35"/>
      <c r="CJ65" s="35"/>
      <c r="CK65" s="35">
        <f t="shared" ref="CK65" si="58">SUM(BY65:CJ65)</f>
        <v>27410</v>
      </c>
      <c r="CL65" s="35">
        <f t="shared" si="8"/>
        <v>82230</v>
      </c>
      <c r="CM65" s="35">
        <v>27910</v>
      </c>
      <c r="CN65" s="35">
        <v>750</v>
      </c>
      <c r="CO65" s="35">
        <v>0</v>
      </c>
      <c r="CP65" s="35"/>
      <c r="CQ65" s="35"/>
      <c r="CR65" s="35"/>
      <c r="CS65" s="35"/>
      <c r="CT65" s="35"/>
      <c r="CU65" s="35"/>
      <c r="CV65" s="35"/>
      <c r="CW65" s="35"/>
      <c r="CX65" s="35"/>
      <c r="CY65" s="35">
        <f t="shared" si="9"/>
        <v>28660</v>
      </c>
      <c r="CZ65" s="35">
        <f>7500+27910</f>
        <v>35410</v>
      </c>
      <c r="DA65" s="35">
        <v>750</v>
      </c>
      <c r="DB65" s="35">
        <v>0</v>
      </c>
      <c r="DC65" s="35"/>
      <c r="DD65" s="35"/>
      <c r="DE65" s="35"/>
      <c r="DF65" s="35"/>
      <c r="DG65" s="35"/>
      <c r="DH65" s="35"/>
      <c r="DI65" s="35"/>
      <c r="DJ65" s="35"/>
      <c r="DK65" s="35"/>
      <c r="DL65" s="35">
        <f t="shared" ref="DL65" si="59">SUM(CZ65:DK65)</f>
        <v>36160</v>
      </c>
      <c r="DM65" s="35">
        <v>27910</v>
      </c>
      <c r="DN65" s="35">
        <v>750</v>
      </c>
      <c r="DO65" s="35">
        <v>0</v>
      </c>
      <c r="DP65" s="35"/>
      <c r="DQ65" s="35"/>
      <c r="DR65" s="35"/>
      <c r="DS65" s="35"/>
      <c r="DT65" s="35"/>
      <c r="DU65" s="35"/>
      <c r="DV65" s="35"/>
      <c r="DW65" s="35"/>
      <c r="DX65" s="35"/>
      <c r="DY65" s="35">
        <f t="shared" si="10"/>
        <v>28660</v>
      </c>
      <c r="DZ65" s="35">
        <f t="shared" si="11"/>
        <v>93480</v>
      </c>
      <c r="EA65" s="35">
        <v>27910</v>
      </c>
      <c r="EB65" s="35">
        <v>750</v>
      </c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>
        <f t="shared" si="12"/>
        <v>28660</v>
      </c>
      <c r="EN65" s="35">
        <v>27910</v>
      </c>
      <c r="EO65" s="35">
        <v>750</v>
      </c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>
        <f t="shared" ref="EZ65" si="60">SUM(EN65:EY65)</f>
        <v>28660</v>
      </c>
      <c r="FA65" s="35">
        <v>27910</v>
      </c>
      <c r="FB65" s="35">
        <v>750</v>
      </c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>
        <f t="shared" si="13"/>
        <v>28660</v>
      </c>
      <c r="FN65" s="35">
        <f t="shared" si="14"/>
        <v>85980</v>
      </c>
      <c r="FO65" s="35">
        <f t="shared" si="15"/>
        <v>343920</v>
      </c>
    </row>
    <row r="66" spans="1:171" x14ac:dyDescent="0.35">
      <c r="A66" s="34"/>
      <c r="B66" s="40"/>
      <c r="C66" s="58"/>
      <c r="D66" s="79" t="s">
        <v>259</v>
      </c>
      <c r="E66" s="40" t="s">
        <v>8</v>
      </c>
      <c r="F66" s="58" t="s">
        <v>17</v>
      </c>
      <c r="G66" s="58"/>
      <c r="H66" s="58"/>
      <c r="I66" s="58"/>
      <c r="J66" s="58"/>
      <c r="K66" s="35">
        <v>26250</v>
      </c>
      <c r="L66" s="35">
        <v>750</v>
      </c>
      <c r="M66" s="35">
        <v>0</v>
      </c>
      <c r="N66" s="35"/>
      <c r="O66" s="35"/>
      <c r="P66" s="35"/>
      <c r="Q66" s="35"/>
      <c r="R66" s="35"/>
      <c r="S66" s="35"/>
      <c r="T66" s="35"/>
      <c r="U66" s="35"/>
      <c r="V66" s="35"/>
      <c r="W66" s="35">
        <f t="shared" ref="W66:W70" si="61">SUM(K66:V66)</f>
        <v>27000</v>
      </c>
      <c r="X66" s="35">
        <v>26250</v>
      </c>
      <c r="Y66" s="35">
        <v>750</v>
      </c>
      <c r="Z66" s="35">
        <v>0</v>
      </c>
      <c r="AA66" s="35"/>
      <c r="AB66" s="35"/>
      <c r="AC66" s="35"/>
      <c r="AD66" s="35"/>
      <c r="AE66" s="35"/>
      <c r="AF66" s="35"/>
      <c r="AG66" s="35"/>
      <c r="AH66" s="35"/>
      <c r="AI66" s="35"/>
      <c r="AJ66" s="35">
        <f t="shared" ref="AJ66:AJ70" si="62">SUM(X66:AI66)</f>
        <v>27000</v>
      </c>
      <c r="AK66" s="35">
        <v>26250</v>
      </c>
      <c r="AL66" s="35">
        <v>750</v>
      </c>
      <c r="AM66" s="35">
        <v>0</v>
      </c>
      <c r="AN66" s="35"/>
      <c r="AO66" s="35"/>
      <c r="AP66" s="35"/>
      <c r="AQ66" s="35"/>
      <c r="AR66" s="35"/>
      <c r="AS66" s="35"/>
      <c r="AT66" s="35"/>
      <c r="AU66" s="35"/>
      <c r="AV66" s="35"/>
      <c r="AW66" s="35">
        <f t="shared" ref="AW66:AW71" si="63">SUM(AK66:AV66)</f>
        <v>27000</v>
      </c>
      <c r="AX66" s="35">
        <f t="shared" ref="AX66:AX71" si="64">+W66+AJ66+AW66</f>
        <v>81000</v>
      </c>
      <c r="AY66" s="35">
        <v>26250</v>
      </c>
      <c r="AZ66" s="35">
        <v>750</v>
      </c>
      <c r="BA66" s="35">
        <v>0</v>
      </c>
      <c r="BB66" s="35"/>
      <c r="BC66" s="35"/>
      <c r="BD66" s="35"/>
      <c r="BE66" s="35"/>
      <c r="BF66" s="35"/>
      <c r="BG66" s="35"/>
      <c r="BH66" s="35"/>
      <c r="BI66" s="35"/>
      <c r="BJ66" s="35"/>
      <c r="BK66" s="35">
        <f t="shared" ref="BK66:BK70" si="65">SUM(AY66:BJ66)</f>
        <v>27000</v>
      </c>
      <c r="BL66" s="35">
        <v>26250</v>
      </c>
      <c r="BM66" s="35">
        <v>750</v>
      </c>
      <c r="BN66" s="35">
        <v>0</v>
      </c>
      <c r="BO66" s="35"/>
      <c r="BP66" s="35"/>
      <c r="BQ66" s="35"/>
      <c r="BR66" s="35"/>
      <c r="BS66" s="35"/>
      <c r="BT66" s="35"/>
      <c r="BU66" s="35"/>
      <c r="BV66" s="35"/>
      <c r="BW66" s="35"/>
      <c r="BX66" s="35">
        <f t="shared" ref="BX66:BX70" si="66">SUM(BL66:BW66)</f>
        <v>27000</v>
      </c>
      <c r="BY66" s="35">
        <v>26250</v>
      </c>
      <c r="BZ66" s="35">
        <v>750</v>
      </c>
      <c r="CA66" s="35">
        <v>0</v>
      </c>
      <c r="CB66" s="35"/>
      <c r="CC66" s="35"/>
      <c r="CD66" s="35"/>
      <c r="CE66" s="35"/>
      <c r="CF66" s="35"/>
      <c r="CG66" s="35"/>
      <c r="CH66" s="35"/>
      <c r="CI66" s="35"/>
      <c r="CJ66" s="35"/>
      <c r="CK66" s="35">
        <f t="shared" ref="CK66:CK70" si="67">SUM(BY66:CJ66)</f>
        <v>27000</v>
      </c>
      <c r="CL66" s="35">
        <f t="shared" ref="CL66:CL71" si="68">+BK66+BX66+CK66</f>
        <v>81000</v>
      </c>
      <c r="CM66" s="35">
        <v>26780</v>
      </c>
      <c r="CN66" s="35">
        <v>750</v>
      </c>
      <c r="CO66" s="35">
        <v>0</v>
      </c>
      <c r="CP66" s="35"/>
      <c r="CQ66" s="35"/>
      <c r="CR66" s="35"/>
      <c r="CS66" s="35"/>
      <c r="CT66" s="35"/>
      <c r="CU66" s="35"/>
      <c r="CV66" s="35"/>
      <c r="CW66" s="35"/>
      <c r="CX66" s="35"/>
      <c r="CY66" s="35">
        <f t="shared" ref="CY66:CY71" si="69">SUM(CM66:CX66)</f>
        <v>27530</v>
      </c>
      <c r="CZ66" s="35">
        <f>3180+26780</f>
        <v>29960</v>
      </c>
      <c r="DA66" s="35">
        <v>750</v>
      </c>
      <c r="DB66" s="35">
        <v>0</v>
      </c>
      <c r="DC66" s="35"/>
      <c r="DD66" s="35"/>
      <c r="DE66" s="35"/>
      <c r="DF66" s="35"/>
      <c r="DG66" s="35"/>
      <c r="DH66" s="35"/>
      <c r="DI66" s="35"/>
      <c r="DJ66" s="35"/>
      <c r="DK66" s="35"/>
      <c r="DL66" s="35">
        <f t="shared" ref="DL66:DL70" si="70">SUM(CZ66:DK66)</f>
        <v>30710</v>
      </c>
      <c r="DM66" s="35">
        <v>26780</v>
      </c>
      <c r="DN66" s="35">
        <v>750</v>
      </c>
      <c r="DO66" s="35">
        <v>0</v>
      </c>
      <c r="DP66" s="35"/>
      <c r="DQ66" s="35"/>
      <c r="DR66" s="35"/>
      <c r="DS66" s="35"/>
      <c r="DT66" s="35"/>
      <c r="DU66" s="35"/>
      <c r="DV66" s="35"/>
      <c r="DW66" s="35"/>
      <c r="DX66" s="35"/>
      <c r="DY66" s="35">
        <f t="shared" ref="DY66:DY71" si="71">SUM(DM66:DX66)</f>
        <v>27530</v>
      </c>
      <c r="DZ66" s="35">
        <f t="shared" ref="DZ66:DZ71" si="72">+CY66+DL66+DY66</f>
        <v>85770</v>
      </c>
      <c r="EA66" s="35">
        <v>26780</v>
      </c>
      <c r="EB66" s="35">
        <v>750</v>
      </c>
      <c r="EC66" s="35">
        <v>0</v>
      </c>
      <c r="ED66" s="35"/>
      <c r="EE66" s="35"/>
      <c r="EF66" s="35"/>
      <c r="EG66" s="35"/>
      <c r="EH66" s="35"/>
      <c r="EI66" s="35"/>
      <c r="EJ66" s="35"/>
      <c r="EK66" s="35"/>
      <c r="EL66" s="35"/>
      <c r="EM66" s="35">
        <f t="shared" ref="EM66:EM71" si="73">SUM(EA66:EL66)</f>
        <v>27530</v>
      </c>
      <c r="EN66" s="35">
        <v>26780</v>
      </c>
      <c r="EO66" s="35">
        <v>750</v>
      </c>
      <c r="EP66" s="35">
        <v>0</v>
      </c>
      <c r="EQ66" s="35"/>
      <c r="ER66" s="35"/>
      <c r="ES66" s="35"/>
      <c r="ET66" s="35"/>
      <c r="EU66" s="35"/>
      <c r="EV66" s="35"/>
      <c r="EW66" s="35"/>
      <c r="EX66" s="35"/>
      <c r="EY66" s="35"/>
      <c r="EZ66" s="35">
        <f t="shared" ref="EZ66:EZ70" si="74">SUM(EN66:EY66)</f>
        <v>27530</v>
      </c>
      <c r="FA66" s="35">
        <v>26780</v>
      </c>
      <c r="FB66" s="35">
        <v>750</v>
      </c>
      <c r="FC66" s="35">
        <v>0</v>
      </c>
      <c r="FD66" s="35"/>
      <c r="FE66" s="35"/>
      <c r="FF66" s="35"/>
      <c r="FG66" s="35"/>
      <c r="FH66" s="35"/>
      <c r="FI66" s="35"/>
      <c r="FJ66" s="35"/>
      <c r="FK66" s="35"/>
      <c r="FL66" s="35"/>
      <c r="FM66" s="35">
        <f t="shared" ref="FM66:FM71" si="75">SUM(FA66:FL66)</f>
        <v>27530</v>
      </c>
      <c r="FN66" s="35">
        <f t="shared" ref="FN66:FN71" si="76">+EM66+EZ66+FM66</f>
        <v>82590</v>
      </c>
      <c r="FO66" s="35">
        <f t="shared" ref="FO66:FO71" si="77">+AX66+CL66+DZ66+FN66</f>
        <v>330360</v>
      </c>
    </row>
    <row r="67" spans="1:171" x14ac:dyDescent="0.35">
      <c r="A67" s="34"/>
      <c r="B67" s="40"/>
      <c r="C67" s="58"/>
      <c r="D67" s="79" t="s">
        <v>260</v>
      </c>
      <c r="E67" s="40" t="s">
        <v>8</v>
      </c>
      <c r="F67" s="58" t="s">
        <v>17</v>
      </c>
      <c r="G67" s="58" t="s">
        <v>361</v>
      </c>
      <c r="H67" s="58">
        <v>788</v>
      </c>
      <c r="I67" s="58"/>
      <c r="J67" s="58"/>
      <c r="K67" s="35">
        <v>26250</v>
      </c>
      <c r="L67" s="35">
        <v>750</v>
      </c>
      <c r="M67" s="35">
        <f>788+788</f>
        <v>1576</v>
      </c>
      <c r="N67" s="35"/>
      <c r="O67" s="35"/>
      <c r="P67" s="35"/>
      <c r="Q67" s="35"/>
      <c r="R67" s="35"/>
      <c r="S67" s="35"/>
      <c r="T67" s="35"/>
      <c r="U67" s="35"/>
      <c r="V67" s="35"/>
      <c r="W67" s="35">
        <f t="shared" si="61"/>
        <v>28576</v>
      </c>
      <c r="X67" s="35">
        <v>26250</v>
      </c>
      <c r="Y67" s="35">
        <v>750</v>
      </c>
      <c r="Z67" s="35">
        <f>788</f>
        <v>788</v>
      </c>
      <c r="AA67" s="35"/>
      <c r="AB67" s="35"/>
      <c r="AC67" s="35"/>
      <c r="AD67" s="35"/>
      <c r="AE67" s="35"/>
      <c r="AF67" s="35"/>
      <c r="AG67" s="35"/>
      <c r="AH67" s="35"/>
      <c r="AI67" s="35"/>
      <c r="AJ67" s="35">
        <f t="shared" si="62"/>
        <v>27788</v>
      </c>
      <c r="AK67" s="35">
        <v>26250</v>
      </c>
      <c r="AL67" s="35">
        <v>750</v>
      </c>
      <c r="AM67" s="35">
        <f>788</f>
        <v>788</v>
      </c>
      <c r="AN67" s="35"/>
      <c r="AO67" s="35"/>
      <c r="AP67" s="35"/>
      <c r="AQ67" s="35"/>
      <c r="AR67" s="35"/>
      <c r="AS67" s="35"/>
      <c r="AT67" s="35"/>
      <c r="AU67" s="35"/>
      <c r="AV67" s="35"/>
      <c r="AW67" s="35">
        <f t="shared" si="63"/>
        <v>27788</v>
      </c>
      <c r="AX67" s="35">
        <f t="shared" si="64"/>
        <v>84152</v>
      </c>
      <c r="AY67" s="35">
        <v>26250</v>
      </c>
      <c r="AZ67" s="35">
        <v>750</v>
      </c>
      <c r="BA67" s="35">
        <v>788</v>
      </c>
      <c r="BB67" s="35"/>
      <c r="BC67" s="35"/>
      <c r="BD67" s="35"/>
      <c r="BE67" s="35"/>
      <c r="BF67" s="35"/>
      <c r="BG67" s="35"/>
      <c r="BH67" s="35"/>
      <c r="BI67" s="35"/>
      <c r="BJ67" s="35"/>
      <c r="BK67" s="35">
        <f t="shared" si="65"/>
        <v>27788</v>
      </c>
      <c r="BL67" s="35">
        <v>26250</v>
      </c>
      <c r="BM67" s="35">
        <v>750</v>
      </c>
      <c r="BN67" s="35">
        <v>788</v>
      </c>
      <c r="BO67" s="35"/>
      <c r="BP67" s="35"/>
      <c r="BQ67" s="35"/>
      <c r="BR67" s="35"/>
      <c r="BS67" s="35"/>
      <c r="BT67" s="35"/>
      <c r="BU67" s="35"/>
      <c r="BV67" s="35"/>
      <c r="BW67" s="35"/>
      <c r="BX67" s="35">
        <f t="shared" si="66"/>
        <v>27788</v>
      </c>
      <c r="BY67" s="35">
        <v>26250</v>
      </c>
      <c r="BZ67" s="35">
        <v>750</v>
      </c>
      <c r="CA67" s="35">
        <v>788</v>
      </c>
      <c r="CB67" s="35"/>
      <c r="CC67" s="35"/>
      <c r="CD67" s="35"/>
      <c r="CE67" s="35"/>
      <c r="CF67" s="35"/>
      <c r="CG67" s="35"/>
      <c r="CH67" s="35"/>
      <c r="CI67" s="35"/>
      <c r="CJ67" s="35"/>
      <c r="CK67" s="35">
        <f t="shared" si="67"/>
        <v>27788</v>
      </c>
      <c r="CL67" s="35">
        <f t="shared" si="68"/>
        <v>83364</v>
      </c>
      <c r="CM67" s="35">
        <v>27300</v>
      </c>
      <c r="CN67" s="35">
        <v>750</v>
      </c>
      <c r="CO67" s="35">
        <v>819</v>
      </c>
      <c r="CP67" s="35"/>
      <c r="CQ67" s="35"/>
      <c r="CR67" s="35"/>
      <c r="CS67" s="35"/>
      <c r="CT67" s="35"/>
      <c r="CU67" s="35"/>
      <c r="CV67" s="35"/>
      <c r="CW67" s="35"/>
      <c r="CX67" s="35"/>
      <c r="CY67" s="35">
        <f t="shared" si="69"/>
        <v>28869</v>
      </c>
      <c r="CZ67" s="35">
        <f>6300+27300</f>
        <v>33600</v>
      </c>
      <c r="DA67" s="35">
        <v>750</v>
      </c>
      <c r="DB67" s="35">
        <f>192+819</f>
        <v>1011</v>
      </c>
      <c r="DC67" s="35"/>
      <c r="DD67" s="35"/>
      <c r="DE67" s="35"/>
      <c r="DF67" s="35"/>
      <c r="DG67" s="35"/>
      <c r="DH67" s="35"/>
      <c r="DI67" s="35"/>
      <c r="DJ67" s="35"/>
      <c r="DK67" s="35"/>
      <c r="DL67" s="35">
        <f t="shared" si="70"/>
        <v>35361</v>
      </c>
      <c r="DM67" s="35">
        <v>27300</v>
      </c>
      <c r="DN67" s="35">
        <v>750</v>
      </c>
      <c r="DO67" s="35">
        <v>819</v>
      </c>
      <c r="DP67" s="35"/>
      <c r="DQ67" s="35"/>
      <c r="DR67" s="35"/>
      <c r="DS67" s="35"/>
      <c r="DT67" s="35"/>
      <c r="DU67" s="35"/>
      <c r="DV67" s="35"/>
      <c r="DW67" s="35"/>
      <c r="DX67" s="35"/>
      <c r="DY67" s="35">
        <f t="shared" si="71"/>
        <v>28869</v>
      </c>
      <c r="DZ67" s="35">
        <f t="shared" si="72"/>
        <v>93099</v>
      </c>
      <c r="EA67" s="35">
        <v>27300</v>
      </c>
      <c r="EB67" s="35">
        <v>750</v>
      </c>
      <c r="EC67" s="35">
        <v>819</v>
      </c>
      <c r="ED67" s="35"/>
      <c r="EE67" s="35"/>
      <c r="EF67" s="35"/>
      <c r="EG67" s="35"/>
      <c r="EH67" s="35"/>
      <c r="EI67" s="35"/>
      <c r="EJ67" s="35"/>
      <c r="EK67" s="35"/>
      <c r="EL67" s="35"/>
      <c r="EM67" s="35">
        <f t="shared" si="73"/>
        <v>28869</v>
      </c>
      <c r="EN67" s="35">
        <v>27300</v>
      </c>
      <c r="EO67" s="35">
        <v>750</v>
      </c>
      <c r="EP67" s="35">
        <v>819</v>
      </c>
      <c r="EQ67" s="35"/>
      <c r="ER67" s="35"/>
      <c r="ES67" s="35"/>
      <c r="ET67" s="35"/>
      <c r="EU67" s="35"/>
      <c r="EV67" s="35"/>
      <c r="EW67" s="35"/>
      <c r="EX67" s="35"/>
      <c r="EY67" s="35"/>
      <c r="EZ67" s="35">
        <f t="shared" si="74"/>
        <v>28869</v>
      </c>
      <c r="FA67" s="35">
        <v>27300</v>
      </c>
      <c r="FB67" s="35">
        <v>750</v>
      </c>
      <c r="FC67" s="35">
        <v>819</v>
      </c>
      <c r="FD67" s="35"/>
      <c r="FE67" s="35"/>
      <c r="FF67" s="35"/>
      <c r="FG67" s="35"/>
      <c r="FH67" s="35"/>
      <c r="FI67" s="35"/>
      <c r="FJ67" s="35"/>
      <c r="FK67" s="35"/>
      <c r="FL67" s="35"/>
      <c r="FM67" s="35">
        <f t="shared" si="75"/>
        <v>28869</v>
      </c>
      <c r="FN67" s="35">
        <f t="shared" si="76"/>
        <v>86607</v>
      </c>
      <c r="FO67" s="35">
        <f t="shared" si="77"/>
        <v>347222</v>
      </c>
    </row>
    <row r="68" spans="1:171" x14ac:dyDescent="0.35">
      <c r="A68" s="34"/>
      <c r="B68" s="40"/>
      <c r="C68" s="58"/>
      <c r="D68" s="79" t="s">
        <v>261</v>
      </c>
      <c r="E68" s="40" t="s">
        <v>8</v>
      </c>
      <c r="F68" s="58" t="s">
        <v>17</v>
      </c>
      <c r="G68" s="58"/>
      <c r="H68" s="61">
        <v>52950</v>
      </c>
      <c r="I68" s="58"/>
      <c r="J68" s="58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>
        <f t="shared" si="61"/>
        <v>0</v>
      </c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>
        <f t="shared" si="62"/>
        <v>0</v>
      </c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>
        <f t="shared" si="63"/>
        <v>0</v>
      </c>
      <c r="AX68" s="35">
        <f t="shared" si="64"/>
        <v>0</v>
      </c>
      <c r="AY68" s="35">
        <f>52950+31500</f>
        <v>84450</v>
      </c>
      <c r="AZ68" s="35">
        <v>750</v>
      </c>
      <c r="BA68" s="35">
        <v>0</v>
      </c>
      <c r="BB68" s="35"/>
      <c r="BC68" s="35"/>
      <c r="BD68" s="35"/>
      <c r="BE68" s="35"/>
      <c r="BF68" s="35"/>
      <c r="BG68" s="35"/>
      <c r="BH68" s="35"/>
      <c r="BI68" s="35"/>
      <c r="BJ68" s="35"/>
      <c r="BK68" s="35">
        <f t="shared" si="65"/>
        <v>85200</v>
      </c>
      <c r="BL68" s="35">
        <v>31500</v>
      </c>
      <c r="BM68" s="35">
        <v>750</v>
      </c>
      <c r="BN68" s="35">
        <v>0</v>
      </c>
      <c r="BO68" s="35"/>
      <c r="BP68" s="35"/>
      <c r="BQ68" s="35"/>
      <c r="BR68" s="35"/>
      <c r="BS68" s="35"/>
      <c r="BT68" s="35"/>
      <c r="BU68" s="35"/>
      <c r="BV68" s="35"/>
      <c r="BW68" s="35"/>
      <c r="BX68" s="35">
        <f t="shared" si="66"/>
        <v>32250</v>
      </c>
      <c r="BY68" s="35">
        <v>31500</v>
      </c>
      <c r="BZ68" s="35">
        <v>750</v>
      </c>
      <c r="CA68" s="35">
        <v>0</v>
      </c>
      <c r="CB68" s="35"/>
      <c r="CC68" s="35"/>
      <c r="CD68" s="35"/>
      <c r="CE68" s="35"/>
      <c r="CF68" s="35"/>
      <c r="CG68" s="35"/>
      <c r="CH68" s="35"/>
      <c r="CI68" s="35"/>
      <c r="CJ68" s="35"/>
      <c r="CK68" s="35">
        <f t="shared" si="67"/>
        <v>32250</v>
      </c>
      <c r="CL68" s="35">
        <f t="shared" si="68"/>
        <v>149700</v>
      </c>
      <c r="CM68" s="35">
        <v>31500</v>
      </c>
      <c r="CN68" s="35">
        <v>750</v>
      </c>
      <c r="CO68" s="35">
        <v>0</v>
      </c>
      <c r="CP68" s="35"/>
      <c r="CQ68" s="35"/>
      <c r="CR68" s="35"/>
      <c r="CS68" s="35"/>
      <c r="CT68" s="35"/>
      <c r="CU68" s="35"/>
      <c r="CV68" s="35"/>
      <c r="CW68" s="35"/>
      <c r="CX68" s="35"/>
      <c r="CY68" s="35">
        <f t="shared" si="69"/>
        <v>32250</v>
      </c>
      <c r="CZ68" s="35">
        <v>31500</v>
      </c>
      <c r="DA68" s="35">
        <v>750</v>
      </c>
      <c r="DB68" s="35">
        <v>0</v>
      </c>
      <c r="DC68" s="35"/>
      <c r="DD68" s="35"/>
      <c r="DE68" s="35"/>
      <c r="DF68" s="35"/>
      <c r="DG68" s="35"/>
      <c r="DH68" s="35"/>
      <c r="DI68" s="35"/>
      <c r="DJ68" s="35"/>
      <c r="DK68" s="35"/>
      <c r="DL68" s="35">
        <f t="shared" si="70"/>
        <v>32250</v>
      </c>
      <c r="DM68" s="35">
        <v>31500</v>
      </c>
      <c r="DN68" s="35">
        <v>750</v>
      </c>
      <c r="DO68" s="35">
        <v>0</v>
      </c>
      <c r="DP68" s="35"/>
      <c r="DQ68" s="35"/>
      <c r="DR68" s="35"/>
      <c r="DS68" s="35"/>
      <c r="DT68" s="35"/>
      <c r="DU68" s="35"/>
      <c r="DV68" s="35"/>
      <c r="DW68" s="35"/>
      <c r="DX68" s="35"/>
      <c r="DY68" s="35">
        <f t="shared" si="71"/>
        <v>32250</v>
      </c>
      <c r="DZ68" s="35">
        <f t="shared" si="72"/>
        <v>96750</v>
      </c>
      <c r="EA68" s="35">
        <v>31500</v>
      </c>
      <c r="EB68" s="35">
        <v>750</v>
      </c>
      <c r="EC68" s="35">
        <v>945</v>
      </c>
      <c r="ED68" s="35"/>
      <c r="EE68" s="35"/>
      <c r="EF68" s="35"/>
      <c r="EG68" s="35"/>
      <c r="EH68" s="35"/>
      <c r="EI68" s="35"/>
      <c r="EJ68" s="35"/>
      <c r="EK68" s="35"/>
      <c r="EL68" s="35"/>
      <c r="EM68" s="35">
        <f t="shared" si="73"/>
        <v>33195</v>
      </c>
      <c r="EN68" s="35">
        <v>31500</v>
      </c>
      <c r="EO68" s="35">
        <v>750</v>
      </c>
      <c r="EP68" s="35">
        <v>945</v>
      </c>
      <c r="EQ68" s="35"/>
      <c r="ER68" s="35"/>
      <c r="ES68" s="35"/>
      <c r="ET68" s="35"/>
      <c r="EU68" s="35"/>
      <c r="EV68" s="35"/>
      <c r="EW68" s="35"/>
      <c r="EX68" s="35"/>
      <c r="EY68" s="35"/>
      <c r="EZ68" s="35">
        <f t="shared" si="74"/>
        <v>33195</v>
      </c>
      <c r="FA68" s="35">
        <v>31500</v>
      </c>
      <c r="FB68" s="35">
        <v>750</v>
      </c>
      <c r="FC68" s="35">
        <v>945</v>
      </c>
      <c r="FD68" s="35"/>
      <c r="FE68" s="35"/>
      <c r="FF68" s="35"/>
      <c r="FG68" s="35"/>
      <c r="FH68" s="35"/>
      <c r="FI68" s="35"/>
      <c r="FJ68" s="35"/>
      <c r="FK68" s="35"/>
      <c r="FL68" s="35"/>
      <c r="FM68" s="35">
        <f t="shared" si="75"/>
        <v>33195</v>
      </c>
      <c r="FN68" s="35">
        <f t="shared" si="76"/>
        <v>99585</v>
      </c>
      <c r="FO68" s="35">
        <f>+AX68+CL68+DZ68+FN68</f>
        <v>346035</v>
      </c>
    </row>
    <row r="69" spans="1:171" x14ac:dyDescent="0.35">
      <c r="A69" s="34"/>
      <c r="B69" s="40"/>
      <c r="C69" s="58"/>
      <c r="D69" s="79" t="s">
        <v>262</v>
      </c>
      <c r="E69" s="40" t="s">
        <v>8</v>
      </c>
      <c r="F69" s="58" t="s">
        <v>17</v>
      </c>
      <c r="G69" s="58"/>
      <c r="H69" s="58"/>
      <c r="I69" s="58"/>
      <c r="J69" s="58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>
        <f t="shared" si="61"/>
        <v>0</v>
      </c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>
        <f t="shared" si="62"/>
        <v>0</v>
      </c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>
        <f t="shared" si="63"/>
        <v>0</v>
      </c>
      <c r="AX69" s="35">
        <f t="shared" si="64"/>
        <v>0</v>
      </c>
      <c r="AY69" s="35">
        <v>14365.16</v>
      </c>
      <c r="AZ69" s="35">
        <v>750</v>
      </c>
      <c r="BA69" s="35">
        <v>0</v>
      </c>
      <c r="BB69" s="35"/>
      <c r="BC69" s="35"/>
      <c r="BD69" s="35"/>
      <c r="BE69" s="35"/>
      <c r="BF69" s="35"/>
      <c r="BG69" s="35"/>
      <c r="BH69" s="35"/>
      <c r="BI69" s="35"/>
      <c r="BJ69" s="35"/>
      <c r="BK69" s="35">
        <f t="shared" si="65"/>
        <v>15115.16</v>
      </c>
      <c r="BL69" s="35">
        <v>26250</v>
      </c>
      <c r="BM69" s="35">
        <v>750</v>
      </c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>
        <f t="shared" si="66"/>
        <v>27000</v>
      </c>
      <c r="BY69" s="35">
        <v>26250</v>
      </c>
      <c r="BZ69" s="35">
        <v>750</v>
      </c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>
        <f t="shared" si="67"/>
        <v>27000</v>
      </c>
      <c r="CL69" s="35">
        <f t="shared" si="68"/>
        <v>69115.16</v>
      </c>
      <c r="CM69" s="35">
        <v>26250</v>
      </c>
      <c r="CN69" s="35">
        <v>750</v>
      </c>
      <c r="CO69" s="35">
        <v>0</v>
      </c>
      <c r="CP69" s="35"/>
      <c r="CQ69" s="35"/>
      <c r="CR69" s="35"/>
      <c r="CS69" s="35"/>
      <c r="CT69" s="35"/>
      <c r="CU69" s="35"/>
      <c r="CV69" s="35"/>
      <c r="CW69" s="35"/>
      <c r="CX69" s="35"/>
      <c r="CY69" s="35">
        <f t="shared" si="69"/>
        <v>27000</v>
      </c>
      <c r="CZ69" s="35">
        <v>26250</v>
      </c>
      <c r="DA69" s="35">
        <v>750</v>
      </c>
      <c r="DB69" s="35">
        <v>0</v>
      </c>
      <c r="DC69" s="35"/>
      <c r="DD69" s="35"/>
      <c r="DE69" s="35"/>
      <c r="DF69" s="35"/>
      <c r="DG69" s="35"/>
      <c r="DH69" s="35"/>
      <c r="DI69" s="35"/>
      <c r="DJ69" s="35"/>
      <c r="DK69" s="35"/>
      <c r="DL69" s="35">
        <f t="shared" si="70"/>
        <v>27000</v>
      </c>
      <c r="DM69" s="35">
        <v>26250</v>
      </c>
      <c r="DN69" s="35">
        <v>750</v>
      </c>
      <c r="DO69" s="35">
        <v>0</v>
      </c>
      <c r="DP69" s="35"/>
      <c r="DQ69" s="35"/>
      <c r="DR69" s="35"/>
      <c r="DS69" s="35"/>
      <c r="DT69" s="35"/>
      <c r="DU69" s="35"/>
      <c r="DV69" s="35"/>
      <c r="DW69" s="35"/>
      <c r="DX69" s="35"/>
      <c r="DY69" s="35">
        <f t="shared" si="71"/>
        <v>27000</v>
      </c>
      <c r="DZ69" s="35">
        <f t="shared" si="72"/>
        <v>81000</v>
      </c>
      <c r="EA69" s="35">
        <v>26250</v>
      </c>
      <c r="EB69" s="35">
        <v>750</v>
      </c>
      <c r="EC69" s="35">
        <v>0</v>
      </c>
      <c r="ED69" s="35"/>
      <c r="EE69" s="35"/>
      <c r="EF69" s="35"/>
      <c r="EG69" s="35"/>
      <c r="EH69" s="35"/>
      <c r="EI69" s="35"/>
      <c r="EJ69" s="35"/>
      <c r="EK69" s="35"/>
      <c r="EL69" s="35"/>
      <c r="EM69" s="35">
        <f t="shared" si="73"/>
        <v>27000</v>
      </c>
      <c r="EN69" s="35">
        <v>26250</v>
      </c>
      <c r="EO69" s="35">
        <v>750</v>
      </c>
      <c r="EP69" s="35">
        <v>0</v>
      </c>
      <c r="EQ69" s="35"/>
      <c r="ER69" s="35"/>
      <c r="ES69" s="35"/>
      <c r="ET69" s="35"/>
      <c r="EU69" s="35"/>
      <c r="EV69" s="35"/>
      <c r="EW69" s="35"/>
      <c r="EX69" s="35"/>
      <c r="EY69" s="35"/>
      <c r="EZ69" s="35">
        <f t="shared" si="74"/>
        <v>27000</v>
      </c>
      <c r="FA69" s="35">
        <v>26250</v>
      </c>
      <c r="FB69" s="35">
        <v>750</v>
      </c>
      <c r="FC69" s="35">
        <v>0</v>
      </c>
      <c r="FD69" s="35"/>
      <c r="FE69" s="35"/>
      <c r="FF69" s="35"/>
      <c r="FG69" s="35"/>
      <c r="FH69" s="35"/>
      <c r="FI69" s="35"/>
      <c r="FJ69" s="35"/>
      <c r="FK69" s="35"/>
      <c r="FL69" s="35"/>
      <c r="FM69" s="35">
        <f t="shared" si="75"/>
        <v>27000</v>
      </c>
      <c r="FN69" s="35">
        <f t="shared" si="76"/>
        <v>81000</v>
      </c>
      <c r="FO69" s="35">
        <f t="shared" si="77"/>
        <v>231115.16</v>
      </c>
    </row>
    <row r="70" spans="1:171" x14ac:dyDescent="0.35">
      <c r="A70" s="34"/>
      <c r="B70" s="40"/>
      <c r="C70" s="58"/>
      <c r="D70" s="79" t="s">
        <v>263</v>
      </c>
      <c r="E70" s="40" t="s">
        <v>8</v>
      </c>
      <c r="F70" s="58" t="s">
        <v>17</v>
      </c>
      <c r="G70" s="58"/>
      <c r="H70" s="58"/>
      <c r="I70" s="58"/>
      <c r="J70" s="58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>
        <f t="shared" si="61"/>
        <v>0</v>
      </c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>
        <f t="shared" si="62"/>
        <v>0</v>
      </c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>
        <f t="shared" si="63"/>
        <v>0</v>
      </c>
      <c r="AX70" s="35">
        <f t="shared" si="64"/>
        <v>0</v>
      </c>
      <c r="AY70" s="35">
        <v>17274.189999999999</v>
      </c>
      <c r="AZ70" s="35">
        <v>750</v>
      </c>
      <c r="BA70" s="35">
        <v>0</v>
      </c>
      <c r="BB70" s="35"/>
      <c r="BC70" s="35"/>
      <c r="BD70" s="35"/>
      <c r="BE70" s="35"/>
      <c r="BF70" s="35"/>
      <c r="BG70" s="35"/>
      <c r="BH70" s="35"/>
      <c r="BI70" s="35"/>
      <c r="BJ70" s="35"/>
      <c r="BK70" s="35">
        <f t="shared" si="65"/>
        <v>18024.189999999999</v>
      </c>
      <c r="BL70" s="35">
        <v>31500</v>
      </c>
      <c r="BM70" s="35">
        <v>750</v>
      </c>
      <c r="BN70" s="35">
        <v>0</v>
      </c>
      <c r="BO70" s="35"/>
      <c r="BP70" s="35"/>
      <c r="BQ70" s="35"/>
      <c r="BR70" s="35"/>
      <c r="BS70" s="35"/>
      <c r="BT70" s="35"/>
      <c r="BU70" s="35"/>
      <c r="BV70" s="35"/>
      <c r="BW70" s="35"/>
      <c r="BX70" s="35">
        <f t="shared" si="66"/>
        <v>32250</v>
      </c>
      <c r="BY70" s="35">
        <v>31500</v>
      </c>
      <c r="BZ70" s="35">
        <v>750</v>
      </c>
      <c r="CA70" s="35">
        <v>0</v>
      </c>
      <c r="CB70" s="35"/>
      <c r="CC70" s="35"/>
      <c r="CD70" s="35"/>
      <c r="CE70" s="35"/>
      <c r="CF70" s="35"/>
      <c r="CG70" s="35"/>
      <c r="CH70" s="35"/>
      <c r="CI70" s="35"/>
      <c r="CJ70" s="35"/>
      <c r="CK70" s="35">
        <f t="shared" si="67"/>
        <v>32250</v>
      </c>
      <c r="CL70" s="35">
        <f t="shared" si="68"/>
        <v>82524.19</v>
      </c>
      <c r="CM70" s="35">
        <v>31500</v>
      </c>
      <c r="CN70" s="35">
        <v>750</v>
      </c>
      <c r="CO70" s="35">
        <v>0</v>
      </c>
      <c r="CP70" s="35"/>
      <c r="CQ70" s="35"/>
      <c r="CR70" s="35"/>
      <c r="CS70" s="35"/>
      <c r="CT70" s="35"/>
      <c r="CU70" s="35"/>
      <c r="CV70" s="35"/>
      <c r="CW70" s="35"/>
      <c r="CX70" s="35"/>
      <c r="CY70" s="35">
        <f t="shared" si="69"/>
        <v>32250</v>
      </c>
      <c r="CZ70" s="35">
        <v>31500</v>
      </c>
      <c r="DA70" s="35">
        <v>750</v>
      </c>
      <c r="DB70" s="35">
        <v>0</v>
      </c>
      <c r="DC70" s="35"/>
      <c r="DD70" s="35"/>
      <c r="DE70" s="35"/>
      <c r="DF70" s="35"/>
      <c r="DG70" s="35"/>
      <c r="DH70" s="35"/>
      <c r="DI70" s="35"/>
      <c r="DJ70" s="35"/>
      <c r="DK70" s="35"/>
      <c r="DL70" s="35">
        <f t="shared" si="70"/>
        <v>32250</v>
      </c>
      <c r="DM70" s="35">
        <v>31500</v>
      </c>
      <c r="DN70" s="35">
        <v>750</v>
      </c>
      <c r="DO70" s="35">
        <v>0</v>
      </c>
      <c r="DP70" s="35"/>
      <c r="DQ70" s="35"/>
      <c r="DR70" s="35"/>
      <c r="DS70" s="35"/>
      <c r="DT70" s="35"/>
      <c r="DU70" s="35"/>
      <c r="DV70" s="35"/>
      <c r="DW70" s="35"/>
      <c r="DX70" s="35"/>
      <c r="DY70" s="35">
        <f t="shared" si="71"/>
        <v>32250</v>
      </c>
      <c r="DZ70" s="35">
        <f t="shared" si="72"/>
        <v>96750</v>
      </c>
      <c r="EA70" s="35">
        <v>31500</v>
      </c>
      <c r="EB70" s="35">
        <v>750</v>
      </c>
      <c r="EC70" s="35">
        <v>0</v>
      </c>
      <c r="ED70" s="35"/>
      <c r="EE70" s="35"/>
      <c r="EF70" s="35"/>
      <c r="EG70" s="35"/>
      <c r="EH70" s="35"/>
      <c r="EI70" s="35"/>
      <c r="EJ70" s="35"/>
      <c r="EK70" s="35"/>
      <c r="EL70" s="35"/>
      <c r="EM70" s="35">
        <f t="shared" si="73"/>
        <v>32250</v>
      </c>
      <c r="EN70" s="35">
        <v>31500</v>
      </c>
      <c r="EO70" s="35">
        <v>750</v>
      </c>
      <c r="EP70" s="35">
        <v>0</v>
      </c>
      <c r="EQ70" s="35"/>
      <c r="ER70" s="35"/>
      <c r="ES70" s="35"/>
      <c r="ET70" s="35"/>
      <c r="EU70" s="35"/>
      <c r="EV70" s="35"/>
      <c r="EW70" s="35"/>
      <c r="EX70" s="35"/>
      <c r="EY70" s="35"/>
      <c r="EZ70" s="35">
        <f t="shared" si="74"/>
        <v>32250</v>
      </c>
      <c r="FA70" s="35">
        <v>31500</v>
      </c>
      <c r="FB70" s="35">
        <v>750</v>
      </c>
      <c r="FC70" s="35">
        <v>0</v>
      </c>
      <c r="FD70" s="35"/>
      <c r="FE70" s="35"/>
      <c r="FF70" s="35"/>
      <c r="FG70" s="35"/>
      <c r="FH70" s="35"/>
      <c r="FI70" s="35"/>
      <c r="FJ70" s="35"/>
      <c r="FK70" s="35"/>
      <c r="FL70" s="35"/>
      <c r="FM70" s="35">
        <f t="shared" si="75"/>
        <v>32250</v>
      </c>
      <c r="FN70" s="35">
        <f t="shared" si="76"/>
        <v>96750</v>
      </c>
      <c r="FO70" s="35">
        <f t="shared" si="77"/>
        <v>276024.19</v>
      </c>
    </row>
    <row r="71" spans="1:171" x14ac:dyDescent="0.35">
      <c r="A71" s="34"/>
      <c r="B71" s="40"/>
      <c r="C71" s="58"/>
      <c r="D71" s="41"/>
      <c r="E71" s="58"/>
      <c r="F71" s="58"/>
      <c r="G71" s="58"/>
      <c r="H71" s="58"/>
      <c r="I71" s="58"/>
      <c r="J71" s="58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>
        <f>SUM(K71:V71)</f>
        <v>0</v>
      </c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>
        <f t="shared" ref="AJ71" si="78">SUM(X71:AI71)</f>
        <v>0</v>
      </c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>
        <f t="shared" si="63"/>
        <v>0</v>
      </c>
      <c r="AX71" s="35">
        <f t="shared" si="64"/>
        <v>0</v>
      </c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>
        <f t="shared" ref="BK71" si="79">SUM(AY71:BJ71)</f>
        <v>0</v>
      </c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>
        <f t="shared" ref="BX71" si="80">SUM(BL71:BW71)</f>
        <v>0</v>
      </c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>
        <f t="shared" ref="CK71" si="81">SUM(BY71:CJ71)</f>
        <v>0</v>
      </c>
      <c r="CL71" s="35">
        <f t="shared" si="68"/>
        <v>0</v>
      </c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>
        <f t="shared" si="69"/>
        <v>0</v>
      </c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>
        <f t="shared" ref="DL71" si="82">SUM(CZ71:DK71)</f>
        <v>0</v>
      </c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>
        <f t="shared" si="71"/>
        <v>0</v>
      </c>
      <c r="DZ71" s="35">
        <f t="shared" si="72"/>
        <v>0</v>
      </c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>
        <f t="shared" si="73"/>
        <v>0</v>
      </c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>
        <f t="shared" ref="EZ71" si="83">SUM(EN71:EY71)</f>
        <v>0</v>
      </c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>
        <f t="shared" si="75"/>
        <v>0</v>
      </c>
      <c r="FN71" s="35">
        <f t="shared" si="76"/>
        <v>0</v>
      </c>
      <c r="FO71" s="35">
        <f t="shared" si="77"/>
        <v>0</v>
      </c>
    </row>
    <row r="72" spans="1:171" x14ac:dyDescent="0.35">
      <c r="A72" s="34"/>
      <c r="B72" s="40"/>
      <c r="C72" s="58"/>
      <c r="D72" s="41"/>
      <c r="E72" s="58"/>
      <c r="F72" s="58"/>
      <c r="G72" s="58"/>
      <c r="H72" s="58"/>
      <c r="I72" s="58"/>
      <c r="J72" s="58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>
        <f>SUM(K72:V72)</f>
        <v>0</v>
      </c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>
        <f t="shared" si="56"/>
        <v>0</v>
      </c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>
        <f t="shared" si="1"/>
        <v>0</v>
      </c>
      <c r="AX72" s="35">
        <f t="shared" si="2"/>
        <v>0</v>
      </c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>
        <f t="shared" si="5"/>
        <v>0</v>
      </c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>
        <f t="shared" si="6"/>
        <v>0</v>
      </c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>
        <f t="shared" si="7"/>
        <v>0</v>
      </c>
      <c r="CL72" s="35">
        <f t="shared" si="8"/>
        <v>0</v>
      </c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>
        <f t="shared" si="9"/>
        <v>0</v>
      </c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>
        <f t="shared" si="3"/>
        <v>0</v>
      </c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>
        <f t="shared" si="10"/>
        <v>0</v>
      </c>
      <c r="DZ72" s="35">
        <f t="shared" si="11"/>
        <v>0</v>
      </c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>
        <f t="shared" si="12"/>
        <v>0</v>
      </c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>
        <f t="shared" si="4"/>
        <v>0</v>
      </c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>
        <f t="shared" si="13"/>
        <v>0</v>
      </c>
      <c r="FN72" s="35">
        <f t="shared" si="14"/>
        <v>0</v>
      </c>
      <c r="FO72" s="35">
        <f t="shared" si="15"/>
        <v>0</v>
      </c>
    </row>
    <row r="73" spans="1:171" x14ac:dyDescent="0.35">
      <c r="A73" s="48"/>
      <c r="B73" s="49" t="s">
        <v>117</v>
      </c>
      <c r="C73" s="59"/>
      <c r="D73" s="50"/>
      <c r="E73" s="59"/>
      <c r="F73" s="59"/>
      <c r="G73" s="59"/>
      <c r="H73" s="59"/>
      <c r="I73" s="59"/>
      <c r="J73" s="59"/>
      <c r="K73" s="51">
        <f>SUM(K27:K72)</f>
        <v>1084230</v>
      </c>
      <c r="L73" s="51">
        <f t="shared" ref="L73:V73" si="84">SUM(L27:L72)</f>
        <v>26250</v>
      </c>
      <c r="M73" s="51">
        <f t="shared" si="84"/>
        <v>24381</v>
      </c>
      <c r="N73" s="51">
        <f t="shared" si="84"/>
        <v>140430</v>
      </c>
      <c r="O73" s="51">
        <f t="shared" si="84"/>
        <v>4500</v>
      </c>
      <c r="P73" s="51">
        <f t="shared" si="84"/>
        <v>3494</v>
      </c>
      <c r="Q73" s="51">
        <f t="shared" si="84"/>
        <v>0</v>
      </c>
      <c r="R73" s="51">
        <f t="shared" si="84"/>
        <v>0</v>
      </c>
      <c r="S73" s="51">
        <f t="shared" si="84"/>
        <v>0</v>
      </c>
      <c r="T73" s="51">
        <f t="shared" si="84"/>
        <v>0</v>
      </c>
      <c r="U73" s="51">
        <f t="shared" si="84"/>
        <v>0</v>
      </c>
      <c r="V73" s="51">
        <f t="shared" si="84"/>
        <v>0</v>
      </c>
      <c r="W73" s="51">
        <f>SUM(K73:V73)</f>
        <v>1283285</v>
      </c>
      <c r="X73" s="51">
        <f>SUM(X27:X72)</f>
        <v>1084230</v>
      </c>
      <c r="Y73" s="51">
        <f t="shared" ref="Y73:AI73" si="85">SUM(Y27:Y72)</f>
        <v>26250</v>
      </c>
      <c r="Z73" s="51">
        <f t="shared" si="85"/>
        <v>23593</v>
      </c>
      <c r="AA73" s="51">
        <f t="shared" si="85"/>
        <v>140430</v>
      </c>
      <c r="AB73" s="51">
        <f t="shared" si="85"/>
        <v>4500</v>
      </c>
      <c r="AC73" s="51">
        <f t="shared" si="85"/>
        <v>3494</v>
      </c>
      <c r="AD73" s="51">
        <f t="shared" si="85"/>
        <v>0</v>
      </c>
      <c r="AE73" s="51">
        <f t="shared" si="85"/>
        <v>0</v>
      </c>
      <c r="AF73" s="51">
        <f t="shared" si="85"/>
        <v>0</v>
      </c>
      <c r="AG73" s="51">
        <f t="shared" si="85"/>
        <v>0</v>
      </c>
      <c r="AH73" s="51">
        <f t="shared" si="85"/>
        <v>0</v>
      </c>
      <c r="AI73" s="51">
        <f t="shared" si="85"/>
        <v>0</v>
      </c>
      <c r="AJ73" s="51">
        <f t="shared" si="56"/>
        <v>1282497</v>
      </c>
      <c r="AK73" s="51">
        <f>SUM(AK27:AK72)</f>
        <v>1084230</v>
      </c>
      <c r="AL73" s="51">
        <f t="shared" ref="AL73:AV73" si="86">SUM(AL27:AL72)</f>
        <v>26250</v>
      </c>
      <c r="AM73" s="51">
        <f t="shared" si="86"/>
        <v>23593</v>
      </c>
      <c r="AN73" s="51">
        <f t="shared" si="86"/>
        <v>140430</v>
      </c>
      <c r="AO73" s="51">
        <f t="shared" si="86"/>
        <v>4500</v>
      </c>
      <c r="AP73" s="51">
        <f t="shared" si="86"/>
        <v>3494</v>
      </c>
      <c r="AQ73" s="51">
        <f t="shared" si="86"/>
        <v>0</v>
      </c>
      <c r="AR73" s="51">
        <f t="shared" si="86"/>
        <v>0</v>
      </c>
      <c r="AS73" s="51">
        <f t="shared" si="86"/>
        <v>0</v>
      </c>
      <c r="AT73" s="51">
        <f t="shared" si="86"/>
        <v>0</v>
      </c>
      <c r="AU73" s="51">
        <f t="shared" si="86"/>
        <v>0</v>
      </c>
      <c r="AV73" s="51">
        <f t="shared" si="86"/>
        <v>0</v>
      </c>
      <c r="AW73" s="51">
        <f t="shared" si="1"/>
        <v>1282497</v>
      </c>
      <c r="AX73" s="51">
        <f t="shared" si="2"/>
        <v>3848279</v>
      </c>
      <c r="AY73" s="51">
        <f>SUM(AY27:AY72)</f>
        <v>1167719.3499999999</v>
      </c>
      <c r="AZ73" s="51">
        <f t="shared" ref="AZ73:BJ73" si="87">SUM(AZ27:AZ72)</f>
        <v>27750</v>
      </c>
      <c r="BA73" s="51">
        <f t="shared" si="87"/>
        <v>23593</v>
      </c>
      <c r="BB73" s="51">
        <f t="shared" si="87"/>
        <v>140430</v>
      </c>
      <c r="BC73" s="51">
        <f t="shared" si="87"/>
        <v>4500</v>
      </c>
      <c r="BD73" s="51">
        <f t="shared" si="87"/>
        <v>2776</v>
      </c>
      <c r="BE73" s="51">
        <f t="shared" si="87"/>
        <v>0</v>
      </c>
      <c r="BF73" s="51">
        <f t="shared" si="87"/>
        <v>0</v>
      </c>
      <c r="BG73" s="51">
        <f t="shared" si="87"/>
        <v>0</v>
      </c>
      <c r="BH73" s="51">
        <f t="shared" si="87"/>
        <v>0</v>
      </c>
      <c r="BI73" s="51">
        <f t="shared" si="87"/>
        <v>0</v>
      </c>
      <c r="BJ73" s="51">
        <f t="shared" si="87"/>
        <v>0</v>
      </c>
      <c r="BK73" s="51">
        <f t="shared" si="5"/>
        <v>1366768.3499999999</v>
      </c>
      <c r="BL73" s="51">
        <f>SUM(BL27:BL72)</f>
        <v>1140880</v>
      </c>
      <c r="BM73" s="51">
        <f t="shared" ref="BM73:BW73" si="88">SUM(BM27:BM72)</f>
        <v>27750</v>
      </c>
      <c r="BN73" s="51">
        <f t="shared" si="88"/>
        <v>23593</v>
      </c>
      <c r="BO73" s="51">
        <f t="shared" si="88"/>
        <v>140430</v>
      </c>
      <c r="BP73" s="51">
        <f t="shared" si="88"/>
        <v>4500</v>
      </c>
      <c r="BQ73" s="51">
        <f t="shared" si="88"/>
        <v>2776</v>
      </c>
      <c r="BR73" s="51">
        <f t="shared" si="88"/>
        <v>0</v>
      </c>
      <c r="BS73" s="51">
        <f t="shared" si="88"/>
        <v>0</v>
      </c>
      <c r="BT73" s="51">
        <f t="shared" si="88"/>
        <v>0</v>
      </c>
      <c r="BU73" s="51">
        <f t="shared" si="88"/>
        <v>0</v>
      </c>
      <c r="BV73" s="51">
        <f t="shared" si="88"/>
        <v>0</v>
      </c>
      <c r="BW73" s="51">
        <f t="shared" si="88"/>
        <v>0</v>
      </c>
      <c r="BX73" s="51">
        <f>SUM(BL73:BW73)</f>
        <v>1339929</v>
      </c>
      <c r="BY73" s="51">
        <f>SUM(BY27:BY72)</f>
        <v>1140880</v>
      </c>
      <c r="BZ73" s="51">
        <f t="shared" ref="BZ73:CJ73" si="89">SUM(BZ27:BZ72)</f>
        <v>27750</v>
      </c>
      <c r="CA73" s="51">
        <f t="shared" si="89"/>
        <v>23593</v>
      </c>
      <c r="CB73" s="51">
        <f t="shared" si="89"/>
        <v>140430</v>
      </c>
      <c r="CC73" s="51">
        <f t="shared" si="89"/>
        <v>4500</v>
      </c>
      <c r="CD73" s="51">
        <f t="shared" si="89"/>
        <v>2776</v>
      </c>
      <c r="CE73" s="51">
        <f t="shared" si="89"/>
        <v>0</v>
      </c>
      <c r="CF73" s="51">
        <f t="shared" si="89"/>
        <v>0</v>
      </c>
      <c r="CG73" s="51">
        <f t="shared" si="89"/>
        <v>0</v>
      </c>
      <c r="CH73" s="51">
        <f t="shared" si="89"/>
        <v>0</v>
      </c>
      <c r="CI73" s="51">
        <f t="shared" si="89"/>
        <v>0</v>
      </c>
      <c r="CJ73" s="51">
        <f t="shared" si="89"/>
        <v>0</v>
      </c>
      <c r="CK73" s="51">
        <f t="shared" si="7"/>
        <v>1339929</v>
      </c>
      <c r="CL73" s="51">
        <f>+BK73+BX73+CK73</f>
        <v>4046626.3499999996</v>
      </c>
      <c r="CM73" s="51">
        <f>SUM(CM27:CM72)</f>
        <v>1186740</v>
      </c>
      <c r="CN73" s="51">
        <f t="shared" ref="CN73:CX73" si="90">SUM(CN27:CN72)</f>
        <v>27750</v>
      </c>
      <c r="CO73" s="51">
        <f t="shared" si="90"/>
        <v>24708</v>
      </c>
      <c r="CP73" s="51">
        <f t="shared" si="90"/>
        <v>147450</v>
      </c>
      <c r="CQ73" s="51">
        <f t="shared" si="90"/>
        <v>4500</v>
      </c>
      <c r="CR73" s="51">
        <f t="shared" si="90"/>
        <v>2915</v>
      </c>
      <c r="CS73" s="51">
        <f t="shared" si="90"/>
        <v>0</v>
      </c>
      <c r="CT73" s="51">
        <f t="shared" si="90"/>
        <v>0</v>
      </c>
      <c r="CU73" s="51">
        <f t="shared" si="90"/>
        <v>0</v>
      </c>
      <c r="CV73" s="51">
        <f t="shared" si="90"/>
        <v>0</v>
      </c>
      <c r="CW73" s="51">
        <f t="shared" si="90"/>
        <v>0</v>
      </c>
      <c r="CX73" s="51">
        <f t="shared" si="90"/>
        <v>0</v>
      </c>
      <c r="CY73" s="51">
        <f t="shared" si="9"/>
        <v>1394063</v>
      </c>
      <c r="CZ73" s="51">
        <f>SUM(CZ27:CZ72)</f>
        <v>1461900</v>
      </c>
      <c r="DA73" s="51">
        <f t="shared" ref="DA73:DK73" si="91">SUM(DA27:DA72)</f>
        <v>27750.52</v>
      </c>
      <c r="DB73" s="51">
        <f t="shared" si="91"/>
        <v>31422</v>
      </c>
      <c r="DC73" s="51">
        <f t="shared" si="91"/>
        <v>189570</v>
      </c>
      <c r="DD73" s="51">
        <f>SUM(DD27:DD72)</f>
        <v>4500</v>
      </c>
      <c r="DE73" s="51">
        <f t="shared" si="91"/>
        <v>3749</v>
      </c>
      <c r="DF73" s="51">
        <f t="shared" si="91"/>
        <v>0</v>
      </c>
      <c r="DG73" s="51">
        <f t="shared" si="91"/>
        <v>0</v>
      </c>
      <c r="DH73" s="51">
        <f t="shared" si="91"/>
        <v>0</v>
      </c>
      <c r="DI73" s="51">
        <f t="shared" si="91"/>
        <v>0</v>
      </c>
      <c r="DJ73" s="51">
        <f t="shared" si="91"/>
        <v>0</v>
      </c>
      <c r="DK73" s="51">
        <f t="shared" si="91"/>
        <v>0</v>
      </c>
      <c r="DL73" s="51">
        <f>SUM(CZ73:DK73)</f>
        <v>1718891.52</v>
      </c>
      <c r="DM73" s="51">
        <f>SUM(DM27:DM72)</f>
        <v>1186740</v>
      </c>
      <c r="DN73" s="51">
        <f t="shared" ref="DN73:DX73" si="92">SUM(DN27:DN72)</f>
        <v>27750</v>
      </c>
      <c r="DO73" s="51">
        <f t="shared" si="92"/>
        <v>24708</v>
      </c>
      <c r="DP73" s="51">
        <f t="shared" si="92"/>
        <v>147450</v>
      </c>
      <c r="DQ73" s="51">
        <f t="shared" si="92"/>
        <v>4500</v>
      </c>
      <c r="DR73" s="51">
        <f t="shared" si="92"/>
        <v>2915</v>
      </c>
      <c r="DS73" s="51">
        <f t="shared" si="92"/>
        <v>0</v>
      </c>
      <c r="DT73" s="51">
        <f t="shared" si="92"/>
        <v>0</v>
      </c>
      <c r="DU73" s="51">
        <f t="shared" si="92"/>
        <v>0</v>
      </c>
      <c r="DV73" s="51">
        <f t="shared" si="92"/>
        <v>0</v>
      </c>
      <c r="DW73" s="51">
        <f t="shared" si="92"/>
        <v>0</v>
      </c>
      <c r="DX73" s="51">
        <f t="shared" si="92"/>
        <v>0</v>
      </c>
      <c r="DY73" s="51">
        <f t="shared" si="10"/>
        <v>1394063</v>
      </c>
      <c r="DZ73" s="51">
        <f>+CY73+DL73+DY73</f>
        <v>4507017.5199999996</v>
      </c>
      <c r="EA73" s="51">
        <f>SUM(EA27:EA72)</f>
        <v>1191498.3900000001</v>
      </c>
      <c r="EB73" s="51">
        <f t="shared" ref="EB73:EL73" si="93">SUM(EB27:EB72)</f>
        <v>27750</v>
      </c>
      <c r="EC73" s="51">
        <f t="shared" si="93"/>
        <v>25797</v>
      </c>
      <c r="ED73" s="51">
        <f t="shared" si="93"/>
        <v>147450</v>
      </c>
      <c r="EE73" s="51">
        <f t="shared" si="93"/>
        <v>4500</v>
      </c>
      <c r="EF73" s="51">
        <f t="shared" si="93"/>
        <v>2153</v>
      </c>
      <c r="EG73" s="51">
        <f t="shared" si="93"/>
        <v>0</v>
      </c>
      <c r="EH73" s="51">
        <f t="shared" si="93"/>
        <v>0</v>
      </c>
      <c r="EI73" s="51">
        <f t="shared" si="93"/>
        <v>0</v>
      </c>
      <c r="EJ73" s="51">
        <f t="shared" si="93"/>
        <v>0</v>
      </c>
      <c r="EK73" s="51">
        <f t="shared" si="93"/>
        <v>0</v>
      </c>
      <c r="EL73" s="51">
        <f t="shared" si="93"/>
        <v>0</v>
      </c>
      <c r="EM73" s="51">
        <f t="shared" si="12"/>
        <v>1399148.3900000001</v>
      </c>
      <c r="EN73" s="51">
        <f>SUM(EN27:EN72)</f>
        <v>1187730</v>
      </c>
      <c r="EO73" s="51">
        <f t="shared" ref="EO73:EY73" si="94">SUM(EO27:EO72)</f>
        <v>27750</v>
      </c>
      <c r="EP73" s="51">
        <f t="shared" si="94"/>
        <v>25683</v>
      </c>
      <c r="EQ73" s="51">
        <f t="shared" si="94"/>
        <v>147450</v>
      </c>
      <c r="ER73" s="51">
        <f t="shared" si="94"/>
        <v>4500</v>
      </c>
      <c r="ES73" s="51">
        <f t="shared" si="94"/>
        <v>2153</v>
      </c>
      <c r="ET73" s="51">
        <f t="shared" si="94"/>
        <v>0</v>
      </c>
      <c r="EU73" s="51">
        <f t="shared" si="94"/>
        <v>0</v>
      </c>
      <c r="EV73" s="51">
        <f t="shared" si="94"/>
        <v>0</v>
      </c>
      <c r="EW73" s="51">
        <f t="shared" si="94"/>
        <v>0</v>
      </c>
      <c r="EX73" s="51">
        <f t="shared" si="94"/>
        <v>0</v>
      </c>
      <c r="EY73" s="51">
        <f t="shared" si="94"/>
        <v>0</v>
      </c>
      <c r="EZ73" s="51">
        <f>SUM(EN73:EY73)</f>
        <v>1395266</v>
      </c>
      <c r="FA73" s="51">
        <f>SUM(FA27:FA72)</f>
        <v>1187730</v>
      </c>
      <c r="FB73" s="51">
        <f t="shared" ref="FB73:FL73" si="95">SUM(FB27:FB72)</f>
        <v>27750</v>
      </c>
      <c r="FC73" s="51">
        <f t="shared" si="95"/>
        <v>25683</v>
      </c>
      <c r="FD73" s="51">
        <f t="shared" si="95"/>
        <v>147450</v>
      </c>
      <c r="FE73" s="51">
        <f t="shared" si="95"/>
        <v>4500</v>
      </c>
      <c r="FF73" s="51">
        <f t="shared" si="95"/>
        <v>2153</v>
      </c>
      <c r="FG73" s="51">
        <f t="shared" si="95"/>
        <v>0</v>
      </c>
      <c r="FH73" s="51">
        <f t="shared" si="95"/>
        <v>0</v>
      </c>
      <c r="FI73" s="51">
        <f t="shared" si="95"/>
        <v>0</v>
      </c>
      <c r="FJ73" s="51">
        <f t="shared" si="95"/>
        <v>0</v>
      </c>
      <c r="FK73" s="51">
        <f t="shared" si="95"/>
        <v>0</v>
      </c>
      <c r="FL73" s="51">
        <f t="shared" si="95"/>
        <v>0</v>
      </c>
      <c r="FM73" s="51">
        <f t="shared" si="13"/>
        <v>1395266</v>
      </c>
      <c r="FN73" s="51">
        <f>+EM73+EZ73+FM73</f>
        <v>4189680.39</v>
      </c>
      <c r="FO73" s="35">
        <f t="shared" si="15"/>
        <v>16591603.26</v>
      </c>
    </row>
    <row r="74" spans="1:171" x14ac:dyDescent="0.35">
      <c r="A74" s="34" t="s">
        <v>4</v>
      </c>
      <c r="B74" s="40" t="s">
        <v>118</v>
      </c>
      <c r="C74" s="58"/>
      <c r="D74" s="41"/>
      <c r="E74" s="58"/>
      <c r="F74" s="58"/>
      <c r="G74" s="58"/>
      <c r="H74" s="58"/>
      <c r="I74" s="58"/>
      <c r="J74" s="58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>
        <f t="shared" si="16"/>
        <v>0</v>
      </c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>
        <f t="shared" si="56"/>
        <v>0</v>
      </c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>
        <f t="shared" si="1"/>
        <v>0</v>
      </c>
      <c r="AX74" s="35">
        <f t="shared" si="2"/>
        <v>0</v>
      </c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>
        <f t="shared" si="5"/>
        <v>0</v>
      </c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>
        <f t="shared" si="6"/>
        <v>0</v>
      </c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>
        <f t="shared" si="7"/>
        <v>0</v>
      </c>
      <c r="CL74" s="35">
        <f t="shared" si="8"/>
        <v>0</v>
      </c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>
        <f t="shared" si="9"/>
        <v>0</v>
      </c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>
        <f t="shared" si="3"/>
        <v>0</v>
      </c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>
        <f t="shared" si="10"/>
        <v>0</v>
      </c>
      <c r="DZ74" s="35">
        <f t="shared" si="11"/>
        <v>0</v>
      </c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>
        <f t="shared" si="12"/>
        <v>0</v>
      </c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>
        <f t="shared" si="4"/>
        <v>0</v>
      </c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>
        <f t="shared" si="13"/>
        <v>0</v>
      </c>
      <c r="FN74" s="35">
        <f t="shared" si="14"/>
        <v>0</v>
      </c>
      <c r="FO74" s="35">
        <f t="shared" si="15"/>
        <v>0</v>
      </c>
    </row>
    <row r="75" spans="1:171" x14ac:dyDescent="0.35">
      <c r="A75" s="34"/>
      <c r="B75" s="40"/>
      <c r="C75" s="58"/>
      <c r="D75" s="79" t="s">
        <v>171</v>
      </c>
      <c r="E75" s="58" t="s">
        <v>9</v>
      </c>
      <c r="F75" s="58" t="s">
        <v>17</v>
      </c>
      <c r="G75" s="58"/>
      <c r="H75" s="58"/>
      <c r="I75" s="58"/>
      <c r="J75" s="58"/>
      <c r="K75" s="35"/>
      <c r="L75" s="35"/>
      <c r="M75" s="35"/>
      <c r="N75" s="35">
        <v>24480</v>
      </c>
      <c r="O75" s="35">
        <v>750</v>
      </c>
      <c r="P75" s="35">
        <v>734</v>
      </c>
      <c r="Q75" s="35"/>
      <c r="R75" s="35"/>
      <c r="S75" s="35"/>
      <c r="T75" s="35"/>
      <c r="U75" s="35"/>
      <c r="V75" s="35"/>
      <c r="W75" s="35">
        <f t="shared" si="16"/>
        <v>25964</v>
      </c>
      <c r="X75" s="35"/>
      <c r="Y75" s="35"/>
      <c r="Z75" s="35"/>
      <c r="AA75" s="35">
        <v>24480</v>
      </c>
      <c r="AB75" s="35">
        <v>750</v>
      </c>
      <c r="AC75" s="35">
        <v>734</v>
      </c>
      <c r="AD75" s="35"/>
      <c r="AE75" s="35"/>
      <c r="AF75" s="35"/>
      <c r="AG75" s="35"/>
      <c r="AH75" s="35"/>
      <c r="AI75" s="35"/>
      <c r="AJ75" s="35">
        <f t="shared" si="56"/>
        <v>25964</v>
      </c>
      <c r="AK75" s="35"/>
      <c r="AL75" s="35"/>
      <c r="AM75" s="35"/>
      <c r="AN75" s="35">
        <v>24480</v>
      </c>
      <c r="AO75" s="35">
        <v>750</v>
      </c>
      <c r="AP75" s="35">
        <v>734</v>
      </c>
      <c r="AQ75" s="35"/>
      <c r="AR75" s="35"/>
      <c r="AS75" s="35"/>
      <c r="AT75" s="35"/>
      <c r="AU75" s="35"/>
      <c r="AV75" s="35"/>
      <c r="AW75" s="35">
        <f t="shared" si="1"/>
        <v>25964</v>
      </c>
      <c r="AX75" s="35">
        <f t="shared" si="2"/>
        <v>77892</v>
      </c>
      <c r="AY75" s="35"/>
      <c r="AZ75" s="35"/>
      <c r="BA75" s="35"/>
      <c r="BB75" s="35">
        <v>24480</v>
      </c>
      <c r="BC75" s="35">
        <v>750</v>
      </c>
      <c r="BD75" s="35">
        <v>734</v>
      </c>
      <c r="BE75" s="35"/>
      <c r="BF75" s="35"/>
      <c r="BG75" s="35"/>
      <c r="BH75" s="35"/>
      <c r="BI75" s="35"/>
      <c r="BJ75" s="35"/>
      <c r="BK75" s="35">
        <f t="shared" si="5"/>
        <v>25964</v>
      </c>
      <c r="BL75" s="35"/>
      <c r="BM75" s="35"/>
      <c r="BN75" s="35"/>
      <c r="BO75" s="35">
        <v>24480</v>
      </c>
      <c r="BP75" s="35">
        <v>750</v>
      </c>
      <c r="BQ75" s="35">
        <v>734</v>
      </c>
      <c r="BR75" s="35"/>
      <c r="BS75" s="35"/>
      <c r="BT75" s="35"/>
      <c r="BU75" s="35"/>
      <c r="BV75" s="35"/>
      <c r="BW75" s="35"/>
      <c r="BX75" s="35">
        <f t="shared" si="6"/>
        <v>25964</v>
      </c>
      <c r="BY75" s="35"/>
      <c r="BZ75" s="35"/>
      <c r="CA75" s="35"/>
      <c r="CB75" s="35">
        <v>24480</v>
      </c>
      <c r="CC75" s="35">
        <v>750</v>
      </c>
      <c r="CD75" s="35">
        <v>734</v>
      </c>
      <c r="CE75" s="35"/>
      <c r="CF75" s="35"/>
      <c r="CG75" s="35"/>
      <c r="CH75" s="35"/>
      <c r="CI75" s="35"/>
      <c r="CJ75" s="35"/>
      <c r="CK75" s="35">
        <f t="shared" si="7"/>
        <v>25964</v>
      </c>
      <c r="CL75" s="35">
        <f t="shared" si="8"/>
        <v>77892</v>
      </c>
      <c r="CM75" s="35"/>
      <c r="CN75" s="35"/>
      <c r="CO75" s="35"/>
      <c r="CP75" s="35">
        <v>25700</v>
      </c>
      <c r="CQ75" s="35">
        <v>750</v>
      </c>
      <c r="CR75" s="35">
        <v>771</v>
      </c>
      <c r="CS75" s="35"/>
      <c r="CT75" s="35"/>
      <c r="CU75" s="35"/>
      <c r="CV75" s="35"/>
      <c r="CW75" s="35"/>
      <c r="CX75" s="35"/>
      <c r="CY75" s="35">
        <f t="shared" si="9"/>
        <v>27221</v>
      </c>
      <c r="CZ75" s="35"/>
      <c r="DA75" s="35"/>
      <c r="DB75" s="35"/>
      <c r="DC75" s="35">
        <f>7320+25700</f>
        <v>33020</v>
      </c>
      <c r="DD75" s="35">
        <v>750</v>
      </c>
      <c r="DE75" s="35">
        <f>222+771</f>
        <v>993</v>
      </c>
      <c r="DF75" s="35"/>
      <c r="DG75" s="35"/>
      <c r="DH75" s="35"/>
      <c r="DI75" s="35"/>
      <c r="DJ75" s="35"/>
      <c r="DK75" s="35"/>
      <c r="DL75" s="35">
        <f t="shared" si="3"/>
        <v>34763</v>
      </c>
      <c r="DM75" s="35"/>
      <c r="DN75" s="35"/>
      <c r="DO75" s="35"/>
      <c r="DP75" s="35">
        <v>25700</v>
      </c>
      <c r="DQ75" s="35">
        <v>750</v>
      </c>
      <c r="DR75" s="35">
        <v>771</v>
      </c>
      <c r="DS75" s="35"/>
      <c r="DT75" s="35"/>
      <c r="DU75" s="35"/>
      <c r="DV75" s="35"/>
      <c r="DW75" s="35"/>
      <c r="DX75" s="35"/>
      <c r="DY75" s="35">
        <f t="shared" si="10"/>
        <v>27221</v>
      </c>
      <c r="DZ75" s="35">
        <f t="shared" si="11"/>
        <v>89205</v>
      </c>
      <c r="EA75" s="35"/>
      <c r="EB75" s="35"/>
      <c r="EC75" s="35"/>
      <c r="ED75" s="35">
        <v>25700</v>
      </c>
      <c r="EE75" s="35">
        <v>750</v>
      </c>
      <c r="EF75" s="35">
        <v>771</v>
      </c>
      <c r="EG75" s="35"/>
      <c r="EH75" s="35"/>
      <c r="EI75" s="35"/>
      <c r="EJ75" s="35"/>
      <c r="EK75" s="35"/>
      <c r="EL75" s="35"/>
      <c r="EM75" s="35">
        <f t="shared" si="12"/>
        <v>27221</v>
      </c>
      <c r="EN75" s="35"/>
      <c r="EO75" s="35"/>
      <c r="EP75" s="35"/>
      <c r="EQ75" s="35">
        <v>25700</v>
      </c>
      <c r="ER75" s="35">
        <v>750</v>
      </c>
      <c r="ES75" s="35">
        <v>771</v>
      </c>
      <c r="ET75" s="35"/>
      <c r="EU75" s="35"/>
      <c r="EV75" s="35"/>
      <c r="EW75" s="35"/>
      <c r="EX75" s="35"/>
      <c r="EY75" s="35"/>
      <c r="EZ75" s="35">
        <f t="shared" si="4"/>
        <v>27221</v>
      </c>
      <c r="FA75" s="35"/>
      <c r="FB75" s="35"/>
      <c r="FC75" s="35"/>
      <c r="FD75" s="35">
        <v>25700</v>
      </c>
      <c r="FE75" s="35">
        <v>750</v>
      </c>
      <c r="FF75" s="35">
        <v>771</v>
      </c>
      <c r="FG75" s="35"/>
      <c r="FH75" s="35"/>
      <c r="FI75" s="35"/>
      <c r="FJ75" s="35"/>
      <c r="FK75" s="35"/>
      <c r="FL75" s="35"/>
      <c r="FM75" s="35">
        <f t="shared" si="13"/>
        <v>27221</v>
      </c>
      <c r="FN75" s="35">
        <f t="shared" si="14"/>
        <v>81663</v>
      </c>
      <c r="FO75" s="35">
        <f t="shared" si="15"/>
        <v>326652</v>
      </c>
    </row>
    <row r="76" spans="1:171" x14ac:dyDescent="0.35">
      <c r="A76" s="34"/>
      <c r="B76" s="40"/>
      <c r="C76" s="58"/>
      <c r="D76" s="79" t="s">
        <v>172</v>
      </c>
      <c r="E76" s="58" t="s">
        <v>9</v>
      </c>
      <c r="F76" s="58" t="s">
        <v>17</v>
      </c>
      <c r="G76" s="58"/>
      <c r="H76" s="58"/>
      <c r="I76" s="58"/>
      <c r="J76" s="58"/>
      <c r="K76" s="35"/>
      <c r="L76" s="35"/>
      <c r="M76" s="35"/>
      <c r="N76" s="35">
        <v>24480</v>
      </c>
      <c r="O76" s="35">
        <v>750</v>
      </c>
      <c r="P76" s="35">
        <v>0</v>
      </c>
      <c r="Q76" s="35"/>
      <c r="R76" s="35"/>
      <c r="S76" s="35"/>
      <c r="T76" s="35"/>
      <c r="U76" s="35"/>
      <c r="V76" s="35"/>
      <c r="W76" s="35">
        <f t="shared" si="16"/>
        <v>25230</v>
      </c>
      <c r="X76" s="35"/>
      <c r="Y76" s="35"/>
      <c r="Z76" s="35"/>
      <c r="AA76" s="35">
        <v>24480</v>
      </c>
      <c r="AB76" s="35">
        <v>750</v>
      </c>
      <c r="AC76" s="35">
        <v>0</v>
      </c>
      <c r="AD76" s="35"/>
      <c r="AE76" s="35"/>
      <c r="AF76" s="35"/>
      <c r="AG76" s="35"/>
      <c r="AH76" s="35"/>
      <c r="AI76" s="35"/>
      <c r="AJ76" s="35">
        <f t="shared" si="56"/>
        <v>25230</v>
      </c>
      <c r="AK76" s="35"/>
      <c r="AL76" s="35"/>
      <c r="AM76" s="35"/>
      <c r="AN76" s="35">
        <v>24480</v>
      </c>
      <c r="AO76" s="35">
        <v>750</v>
      </c>
      <c r="AP76" s="35">
        <v>0</v>
      </c>
      <c r="AQ76" s="35"/>
      <c r="AR76" s="35"/>
      <c r="AS76" s="35"/>
      <c r="AT76" s="35"/>
      <c r="AU76" s="35"/>
      <c r="AV76" s="35"/>
      <c r="AW76" s="35">
        <f t="shared" si="1"/>
        <v>25230</v>
      </c>
      <c r="AX76" s="35">
        <f t="shared" ref="AX76:AX141" si="96">+W76+AJ76+AW76</f>
        <v>75690</v>
      </c>
      <c r="AY76" s="35"/>
      <c r="AZ76" s="35"/>
      <c r="BA76" s="35"/>
      <c r="BB76" s="35">
        <v>24480</v>
      </c>
      <c r="BC76" s="35">
        <v>750</v>
      </c>
      <c r="BD76" s="35">
        <v>0</v>
      </c>
      <c r="BE76" s="35"/>
      <c r="BF76" s="35"/>
      <c r="BG76" s="35"/>
      <c r="BH76" s="35"/>
      <c r="BI76" s="35"/>
      <c r="BJ76" s="35"/>
      <c r="BK76" s="35">
        <f t="shared" si="5"/>
        <v>25230</v>
      </c>
      <c r="BL76" s="35"/>
      <c r="BM76" s="35"/>
      <c r="BN76" s="35"/>
      <c r="BO76" s="35">
        <v>24480</v>
      </c>
      <c r="BP76" s="35">
        <v>750</v>
      </c>
      <c r="BQ76" s="35">
        <v>0</v>
      </c>
      <c r="BR76" s="35"/>
      <c r="BS76" s="35"/>
      <c r="BT76" s="35"/>
      <c r="BU76" s="35"/>
      <c r="BV76" s="35"/>
      <c r="BW76" s="35"/>
      <c r="BX76" s="35">
        <f t="shared" si="6"/>
        <v>25230</v>
      </c>
      <c r="BY76" s="35"/>
      <c r="BZ76" s="35"/>
      <c r="CA76" s="35"/>
      <c r="CB76" s="35">
        <v>24480</v>
      </c>
      <c r="CC76" s="35">
        <v>750</v>
      </c>
      <c r="CD76" s="35">
        <v>0</v>
      </c>
      <c r="CE76" s="35"/>
      <c r="CF76" s="35"/>
      <c r="CG76" s="35"/>
      <c r="CH76" s="35"/>
      <c r="CI76" s="35"/>
      <c r="CJ76" s="35"/>
      <c r="CK76" s="35">
        <f t="shared" si="7"/>
        <v>25230</v>
      </c>
      <c r="CL76" s="35">
        <f t="shared" si="8"/>
        <v>75690</v>
      </c>
      <c r="CM76" s="35"/>
      <c r="CN76" s="35"/>
      <c r="CO76" s="35"/>
      <c r="CP76" s="35">
        <v>25700</v>
      </c>
      <c r="CQ76" s="35">
        <v>750</v>
      </c>
      <c r="CR76" s="35">
        <v>0</v>
      </c>
      <c r="CS76" s="35"/>
      <c r="CT76" s="35"/>
      <c r="CU76" s="35"/>
      <c r="CV76" s="35"/>
      <c r="CW76" s="35"/>
      <c r="CX76" s="35"/>
      <c r="CY76" s="35">
        <f t="shared" si="9"/>
        <v>26450</v>
      </c>
      <c r="CZ76" s="35"/>
      <c r="DA76" s="35"/>
      <c r="DB76" s="35"/>
      <c r="DC76" s="35">
        <f>7320+25700</f>
        <v>33020</v>
      </c>
      <c r="DD76" s="35">
        <v>750</v>
      </c>
      <c r="DE76" s="35">
        <v>0</v>
      </c>
      <c r="DF76" s="35"/>
      <c r="DG76" s="35"/>
      <c r="DH76" s="35"/>
      <c r="DI76" s="35"/>
      <c r="DJ76" s="35"/>
      <c r="DK76" s="35"/>
      <c r="DL76" s="35">
        <f t="shared" si="3"/>
        <v>33770</v>
      </c>
      <c r="DM76" s="35"/>
      <c r="DN76" s="35"/>
      <c r="DO76" s="35"/>
      <c r="DP76" s="35">
        <v>25700</v>
      </c>
      <c r="DQ76" s="35">
        <v>750</v>
      </c>
      <c r="DR76" s="35">
        <v>0</v>
      </c>
      <c r="DS76" s="35"/>
      <c r="DT76" s="35"/>
      <c r="DU76" s="35"/>
      <c r="DV76" s="35"/>
      <c r="DW76" s="35"/>
      <c r="DX76" s="35"/>
      <c r="DY76" s="35">
        <f t="shared" si="10"/>
        <v>26450</v>
      </c>
      <c r="DZ76" s="35">
        <f t="shared" si="11"/>
        <v>86670</v>
      </c>
      <c r="EA76" s="35"/>
      <c r="EB76" s="35"/>
      <c r="EC76" s="35"/>
      <c r="ED76" s="35">
        <v>25700</v>
      </c>
      <c r="EE76" s="35">
        <v>750</v>
      </c>
      <c r="EF76" s="35">
        <v>0</v>
      </c>
      <c r="EG76" s="35"/>
      <c r="EH76" s="35"/>
      <c r="EI76" s="35"/>
      <c r="EJ76" s="35"/>
      <c r="EK76" s="35"/>
      <c r="EL76" s="35"/>
      <c r="EM76" s="35">
        <f t="shared" si="12"/>
        <v>26450</v>
      </c>
      <c r="EN76" s="35"/>
      <c r="EO76" s="35"/>
      <c r="EP76" s="35"/>
      <c r="EQ76" s="35">
        <v>25700</v>
      </c>
      <c r="ER76" s="35">
        <v>750</v>
      </c>
      <c r="ES76" s="35">
        <v>0</v>
      </c>
      <c r="ET76" s="35"/>
      <c r="EU76" s="35"/>
      <c r="EV76" s="35"/>
      <c r="EW76" s="35"/>
      <c r="EX76" s="35"/>
      <c r="EY76" s="35"/>
      <c r="EZ76" s="35">
        <f t="shared" si="4"/>
        <v>26450</v>
      </c>
      <c r="FA76" s="35"/>
      <c r="FB76" s="35"/>
      <c r="FC76" s="35"/>
      <c r="FD76" s="35">
        <v>25700</v>
      </c>
      <c r="FE76" s="35">
        <v>750</v>
      </c>
      <c r="FF76" s="35">
        <v>0</v>
      </c>
      <c r="FG76" s="35"/>
      <c r="FH76" s="35"/>
      <c r="FI76" s="35"/>
      <c r="FJ76" s="35"/>
      <c r="FK76" s="35"/>
      <c r="FL76" s="35"/>
      <c r="FM76" s="35">
        <f t="shared" si="13"/>
        <v>26450</v>
      </c>
      <c r="FN76" s="35">
        <f t="shared" si="14"/>
        <v>79350</v>
      </c>
      <c r="FO76" s="35">
        <f t="shared" si="15"/>
        <v>317400</v>
      </c>
    </row>
    <row r="77" spans="1:171" x14ac:dyDescent="0.35">
      <c r="A77" s="34"/>
      <c r="B77" s="40"/>
      <c r="C77" s="58"/>
      <c r="D77" s="79" t="s">
        <v>173</v>
      </c>
      <c r="E77" s="58" t="s">
        <v>9</v>
      </c>
      <c r="F77" s="58" t="s">
        <v>17</v>
      </c>
      <c r="G77" s="58"/>
      <c r="H77" s="58"/>
      <c r="I77" s="58"/>
      <c r="J77" s="58"/>
      <c r="K77" s="35"/>
      <c r="L77" s="35"/>
      <c r="M77" s="35"/>
      <c r="N77" s="35">
        <v>24480</v>
      </c>
      <c r="O77" s="35">
        <v>750</v>
      </c>
      <c r="P77" s="35">
        <v>734</v>
      </c>
      <c r="Q77" s="35"/>
      <c r="R77" s="35"/>
      <c r="S77" s="35"/>
      <c r="T77" s="35"/>
      <c r="U77" s="35"/>
      <c r="V77" s="35"/>
      <c r="W77" s="35">
        <f t="shared" si="16"/>
        <v>25964</v>
      </c>
      <c r="X77" s="35"/>
      <c r="Y77" s="35"/>
      <c r="Z77" s="35"/>
      <c r="AA77" s="35">
        <v>24480</v>
      </c>
      <c r="AB77" s="35">
        <v>750</v>
      </c>
      <c r="AC77" s="35">
        <v>734</v>
      </c>
      <c r="AD77" s="35"/>
      <c r="AE77" s="35"/>
      <c r="AF77" s="35"/>
      <c r="AG77" s="35"/>
      <c r="AH77" s="35"/>
      <c r="AI77" s="35"/>
      <c r="AJ77" s="35">
        <f t="shared" si="56"/>
        <v>25964</v>
      </c>
      <c r="AK77" s="35"/>
      <c r="AL77" s="35"/>
      <c r="AM77" s="35"/>
      <c r="AN77" s="35">
        <v>24480</v>
      </c>
      <c r="AO77" s="35">
        <v>750</v>
      </c>
      <c r="AP77" s="35">
        <v>734</v>
      </c>
      <c r="AQ77" s="35"/>
      <c r="AR77" s="35"/>
      <c r="AS77" s="35"/>
      <c r="AT77" s="35"/>
      <c r="AU77" s="35"/>
      <c r="AV77" s="35"/>
      <c r="AW77" s="35">
        <f t="shared" si="1"/>
        <v>25964</v>
      </c>
      <c r="AX77" s="35">
        <f t="shared" si="96"/>
        <v>77892</v>
      </c>
      <c r="AY77" s="35"/>
      <c r="AZ77" s="35"/>
      <c r="BA77" s="35"/>
      <c r="BB77" s="35">
        <v>24480</v>
      </c>
      <c r="BC77" s="35">
        <v>750</v>
      </c>
      <c r="BD77" s="35">
        <v>734</v>
      </c>
      <c r="BE77" s="35"/>
      <c r="BF77" s="35"/>
      <c r="BG77" s="35"/>
      <c r="BH77" s="35"/>
      <c r="BI77" s="35"/>
      <c r="BJ77" s="35"/>
      <c r="BK77" s="35">
        <f t="shared" si="5"/>
        <v>25964</v>
      </c>
      <c r="BL77" s="35"/>
      <c r="BM77" s="35"/>
      <c r="BN77" s="35"/>
      <c r="BO77" s="35">
        <v>24480</v>
      </c>
      <c r="BP77" s="35">
        <v>750</v>
      </c>
      <c r="BQ77" s="35">
        <v>734</v>
      </c>
      <c r="BR77" s="35"/>
      <c r="BS77" s="35"/>
      <c r="BT77" s="35"/>
      <c r="BU77" s="35"/>
      <c r="BV77" s="35"/>
      <c r="BW77" s="35"/>
      <c r="BX77" s="35">
        <f t="shared" si="6"/>
        <v>25964</v>
      </c>
      <c r="BY77" s="35"/>
      <c r="BZ77" s="35"/>
      <c r="CA77" s="35"/>
      <c r="CB77" s="35">
        <v>24480</v>
      </c>
      <c r="CC77" s="35">
        <v>750</v>
      </c>
      <c r="CD77" s="35">
        <v>734</v>
      </c>
      <c r="CE77" s="35"/>
      <c r="CF77" s="35"/>
      <c r="CG77" s="35"/>
      <c r="CH77" s="35"/>
      <c r="CI77" s="35"/>
      <c r="CJ77" s="35"/>
      <c r="CK77" s="35">
        <f t="shared" si="7"/>
        <v>25964</v>
      </c>
      <c r="CL77" s="35">
        <f t="shared" si="8"/>
        <v>77892</v>
      </c>
      <c r="CM77" s="35"/>
      <c r="CN77" s="35"/>
      <c r="CO77" s="35"/>
      <c r="CP77" s="35">
        <v>25700</v>
      </c>
      <c r="CQ77" s="35">
        <v>750</v>
      </c>
      <c r="CR77" s="35">
        <v>771</v>
      </c>
      <c r="CS77" s="35"/>
      <c r="CT77" s="35"/>
      <c r="CU77" s="35"/>
      <c r="CV77" s="35"/>
      <c r="CW77" s="35"/>
      <c r="CX77" s="35"/>
      <c r="CY77" s="35">
        <f t="shared" si="9"/>
        <v>27221</v>
      </c>
      <c r="CZ77" s="35"/>
      <c r="DA77" s="35"/>
      <c r="DB77" s="35"/>
      <c r="DC77" s="35">
        <f>7320+25700</f>
        <v>33020</v>
      </c>
      <c r="DD77" s="35">
        <v>750</v>
      </c>
      <c r="DE77" s="35">
        <f>222+771</f>
        <v>993</v>
      </c>
      <c r="DF77" s="35"/>
      <c r="DG77" s="35"/>
      <c r="DH77" s="35"/>
      <c r="DI77" s="35"/>
      <c r="DJ77" s="35"/>
      <c r="DK77" s="35"/>
      <c r="DL77" s="35">
        <f t="shared" si="3"/>
        <v>34763</v>
      </c>
      <c r="DM77" s="35"/>
      <c r="DN77" s="35"/>
      <c r="DO77" s="35"/>
      <c r="DP77" s="35">
        <v>25700</v>
      </c>
      <c r="DQ77" s="35">
        <v>750</v>
      </c>
      <c r="DR77" s="35">
        <v>771</v>
      </c>
      <c r="DS77" s="35"/>
      <c r="DT77" s="35"/>
      <c r="DU77" s="35"/>
      <c r="DV77" s="35"/>
      <c r="DW77" s="35"/>
      <c r="DX77" s="35"/>
      <c r="DY77" s="35">
        <f t="shared" si="10"/>
        <v>27221</v>
      </c>
      <c r="DZ77" s="35">
        <f t="shared" si="11"/>
        <v>89205</v>
      </c>
      <c r="EA77" s="35"/>
      <c r="EB77" s="35"/>
      <c r="EC77" s="35"/>
      <c r="ED77" s="35">
        <v>25700</v>
      </c>
      <c r="EE77" s="35">
        <v>750</v>
      </c>
      <c r="EF77" s="35">
        <v>0</v>
      </c>
      <c r="EG77" s="35"/>
      <c r="EH77" s="35"/>
      <c r="EI77" s="35"/>
      <c r="EJ77" s="35"/>
      <c r="EK77" s="35"/>
      <c r="EL77" s="35"/>
      <c r="EM77" s="35">
        <f t="shared" si="12"/>
        <v>26450</v>
      </c>
      <c r="EN77" s="35"/>
      <c r="EO77" s="35"/>
      <c r="EP77" s="35"/>
      <c r="EQ77" s="35">
        <v>25700</v>
      </c>
      <c r="ER77" s="35">
        <v>750</v>
      </c>
      <c r="ES77" s="35">
        <v>0</v>
      </c>
      <c r="ET77" s="35"/>
      <c r="EU77" s="35"/>
      <c r="EV77" s="35"/>
      <c r="EW77" s="35"/>
      <c r="EX77" s="35"/>
      <c r="EY77" s="35"/>
      <c r="EZ77" s="35">
        <f t="shared" si="4"/>
        <v>26450</v>
      </c>
      <c r="FA77" s="35"/>
      <c r="FB77" s="35"/>
      <c r="FC77" s="35"/>
      <c r="FD77" s="35">
        <v>25700</v>
      </c>
      <c r="FE77" s="35">
        <v>750</v>
      </c>
      <c r="FF77" s="35">
        <v>0</v>
      </c>
      <c r="FG77" s="35"/>
      <c r="FH77" s="35"/>
      <c r="FI77" s="35"/>
      <c r="FJ77" s="35"/>
      <c r="FK77" s="35"/>
      <c r="FL77" s="35"/>
      <c r="FM77" s="35">
        <f t="shared" si="13"/>
        <v>26450</v>
      </c>
      <c r="FN77" s="35">
        <f t="shared" si="14"/>
        <v>79350</v>
      </c>
      <c r="FO77" s="35">
        <f t="shared" si="15"/>
        <v>324339</v>
      </c>
    </row>
    <row r="78" spans="1:171" x14ac:dyDescent="0.35">
      <c r="A78" s="34"/>
      <c r="B78" s="40"/>
      <c r="C78" s="58"/>
      <c r="D78" s="79" t="s">
        <v>174</v>
      </c>
      <c r="E78" s="58" t="s">
        <v>9</v>
      </c>
      <c r="F78" s="58" t="s">
        <v>17</v>
      </c>
      <c r="G78" s="58"/>
      <c r="H78" s="58"/>
      <c r="I78" s="58"/>
      <c r="J78" s="58"/>
      <c r="K78" s="35"/>
      <c r="L78" s="35"/>
      <c r="M78" s="35"/>
      <c r="N78" s="35">
        <v>24480</v>
      </c>
      <c r="O78" s="35">
        <v>750</v>
      </c>
      <c r="P78" s="35">
        <v>734</v>
      </c>
      <c r="Q78" s="35"/>
      <c r="R78" s="35"/>
      <c r="S78" s="35"/>
      <c r="T78" s="35"/>
      <c r="U78" s="35"/>
      <c r="V78" s="35"/>
      <c r="W78" s="35">
        <f t="shared" si="16"/>
        <v>25964</v>
      </c>
      <c r="X78" s="35"/>
      <c r="Y78" s="35"/>
      <c r="Z78" s="35"/>
      <c r="AA78" s="35">
        <v>24480</v>
      </c>
      <c r="AB78" s="35">
        <v>750</v>
      </c>
      <c r="AC78" s="35">
        <v>734</v>
      </c>
      <c r="AD78" s="35"/>
      <c r="AE78" s="35"/>
      <c r="AF78" s="35"/>
      <c r="AG78" s="35"/>
      <c r="AH78" s="35"/>
      <c r="AI78" s="35"/>
      <c r="AJ78" s="35">
        <f t="shared" si="56"/>
        <v>25964</v>
      </c>
      <c r="AK78" s="35"/>
      <c r="AL78" s="35"/>
      <c r="AM78" s="35"/>
      <c r="AN78" s="35">
        <v>24480</v>
      </c>
      <c r="AO78" s="35">
        <v>750</v>
      </c>
      <c r="AP78" s="35">
        <v>734</v>
      </c>
      <c r="AQ78" s="35"/>
      <c r="AR78" s="35"/>
      <c r="AS78" s="35"/>
      <c r="AT78" s="35"/>
      <c r="AU78" s="35"/>
      <c r="AV78" s="35"/>
      <c r="AW78" s="35">
        <f t="shared" si="1"/>
        <v>25964</v>
      </c>
      <c r="AX78" s="35">
        <f t="shared" si="96"/>
        <v>77892</v>
      </c>
      <c r="AY78" s="35"/>
      <c r="AZ78" s="35"/>
      <c r="BA78" s="35"/>
      <c r="BB78" s="35">
        <v>22880.02</v>
      </c>
      <c r="BC78" s="35">
        <v>750</v>
      </c>
      <c r="BD78" s="35">
        <v>707.63</v>
      </c>
      <c r="BE78" s="35"/>
      <c r="BF78" s="35"/>
      <c r="BG78" s="35"/>
      <c r="BH78" s="35"/>
      <c r="BI78" s="35"/>
      <c r="BJ78" s="35"/>
      <c r="BK78" s="35">
        <f t="shared" si="5"/>
        <v>24337.65</v>
      </c>
      <c r="BL78" s="35"/>
      <c r="BM78" s="35"/>
      <c r="BN78" s="35"/>
      <c r="BO78" s="35">
        <v>24480</v>
      </c>
      <c r="BP78" s="35">
        <v>750</v>
      </c>
      <c r="BQ78" s="35">
        <v>734</v>
      </c>
      <c r="BR78" s="35"/>
      <c r="BS78" s="35"/>
      <c r="BT78" s="35"/>
      <c r="BU78" s="35"/>
      <c r="BV78" s="35"/>
      <c r="BW78" s="35"/>
      <c r="BX78" s="35">
        <f t="shared" si="6"/>
        <v>25964</v>
      </c>
      <c r="BY78" s="35"/>
      <c r="BZ78" s="35"/>
      <c r="CA78" s="35"/>
      <c r="CB78" s="35">
        <v>24480</v>
      </c>
      <c r="CC78" s="35">
        <v>750</v>
      </c>
      <c r="CD78" s="35">
        <v>734</v>
      </c>
      <c r="CE78" s="35"/>
      <c r="CF78" s="35"/>
      <c r="CG78" s="35"/>
      <c r="CH78" s="35"/>
      <c r="CI78" s="35"/>
      <c r="CJ78" s="35"/>
      <c r="CK78" s="35">
        <f t="shared" si="7"/>
        <v>25964</v>
      </c>
      <c r="CL78" s="35">
        <f t="shared" si="8"/>
        <v>76265.649999999994</v>
      </c>
      <c r="CM78" s="35"/>
      <c r="CN78" s="35"/>
      <c r="CO78" s="35"/>
      <c r="CP78" s="35">
        <v>25700</v>
      </c>
      <c r="CQ78" s="35">
        <v>750</v>
      </c>
      <c r="CR78" s="35">
        <v>771</v>
      </c>
      <c r="CS78" s="35"/>
      <c r="CT78" s="35"/>
      <c r="CU78" s="35"/>
      <c r="CV78" s="35"/>
      <c r="CW78" s="35"/>
      <c r="CX78" s="35"/>
      <c r="CY78" s="35">
        <f t="shared" si="9"/>
        <v>27221</v>
      </c>
      <c r="CZ78" s="35"/>
      <c r="DA78" s="35"/>
      <c r="DB78" s="35"/>
      <c r="DC78" s="35">
        <f>5533.29+25700</f>
        <v>31233.29</v>
      </c>
      <c r="DD78" s="35">
        <f>16+750</f>
        <v>766</v>
      </c>
      <c r="DE78" s="35">
        <f>167+771</f>
        <v>938</v>
      </c>
      <c r="DF78" s="35"/>
      <c r="DG78" s="35"/>
      <c r="DH78" s="35"/>
      <c r="DI78" s="35"/>
      <c r="DJ78" s="35"/>
      <c r="DK78" s="35"/>
      <c r="DL78" s="35">
        <f t="shared" si="3"/>
        <v>32937.29</v>
      </c>
      <c r="DM78" s="35"/>
      <c r="DN78" s="35"/>
      <c r="DO78" s="35"/>
      <c r="DP78" s="35">
        <v>25700</v>
      </c>
      <c r="DQ78" s="35">
        <v>750</v>
      </c>
      <c r="DR78" s="35">
        <v>771</v>
      </c>
      <c r="DS78" s="35"/>
      <c r="DT78" s="35"/>
      <c r="DU78" s="35"/>
      <c r="DV78" s="35"/>
      <c r="DW78" s="35"/>
      <c r="DX78" s="35"/>
      <c r="DY78" s="35">
        <f t="shared" si="10"/>
        <v>27221</v>
      </c>
      <c r="DZ78" s="35">
        <f t="shared" si="11"/>
        <v>87379.290000000008</v>
      </c>
      <c r="EA78" s="35"/>
      <c r="EB78" s="35"/>
      <c r="EC78" s="35"/>
      <c r="ED78" s="35">
        <v>25700</v>
      </c>
      <c r="EE78" s="35">
        <v>750</v>
      </c>
      <c r="EF78" s="35">
        <v>771</v>
      </c>
      <c r="EG78" s="35"/>
      <c r="EH78" s="35"/>
      <c r="EI78" s="35"/>
      <c r="EJ78" s="35"/>
      <c r="EK78" s="35"/>
      <c r="EL78" s="35"/>
      <c r="EM78" s="35">
        <f t="shared" si="12"/>
        <v>27221</v>
      </c>
      <c r="EN78" s="35"/>
      <c r="EO78" s="35"/>
      <c r="EP78" s="35"/>
      <c r="EQ78" s="35">
        <v>25700</v>
      </c>
      <c r="ER78" s="35">
        <v>750</v>
      </c>
      <c r="ES78" s="35">
        <v>771</v>
      </c>
      <c r="ET78" s="35"/>
      <c r="EU78" s="35"/>
      <c r="EV78" s="35"/>
      <c r="EW78" s="35"/>
      <c r="EX78" s="35"/>
      <c r="EY78" s="35"/>
      <c r="EZ78" s="35">
        <f t="shared" si="4"/>
        <v>27221</v>
      </c>
      <c r="FA78" s="35"/>
      <c r="FB78" s="35"/>
      <c r="FC78" s="35"/>
      <c r="FD78" s="35">
        <v>25700</v>
      </c>
      <c r="FE78" s="35">
        <v>750</v>
      </c>
      <c r="FF78" s="35">
        <v>771</v>
      </c>
      <c r="FG78" s="35"/>
      <c r="FH78" s="35"/>
      <c r="FI78" s="35"/>
      <c r="FJ78" s="35"/>
      <c r="FK78" s="35"/>
      <c r="FL78" s="35"/>
      <c r="FM78" s="35">
        <f t="shared" si="13"/>
        <v>27221</v>
      </c>
      <c r="FN78" s="35">
        <f t="shared" si="14"/>
        <v>81663</v>
      </c>
      <c r="FO78" s="35">
        <f t="shared" si="15"/>
        <v>323199.94</v>
      </c>
    </row>
    <row r="79" spans="1:171" x14ac:dyDescent="0.35">
      <c r="A79" s="34"/>
      <c r="B79" s="40"/>
      <c r="C79" s="58"/>
      <c r="D79" s="79" t="s">
        <v>175</v>
      </c>
      <c r="E79" s="58" t="s">
        <v>9</v>
      </c>
      <c r="F79" s="58" t="s">
        <v>17</v>
      </c>
      <c r="G79" s="58"/>
      <c r="H79" s="58"/>
      <c r="I79" s="58"/>
      <c r="J79" s="58"/>
      <c r="K79" s="35"/>
      <c r="L79" s="35"/>
      <c r="M79" s="35"/>
      <c r="N79" s="35">
        <v>24480</v>
      </c>
      <c r="O79" s="35">
        <v>750</v>
      </c>
      <c r="P79" s="35">
        <v>734</v>
      </c>
      <c r="Q79" s="35"/>
      <c r="R79" s="35"/>
      <c r="S79" s="35"/>
      <c r="T79" s="35"/>
      <c r="U79" s="35"/>
      <c r="V79" s="35"/>
      <c r="W79" s="35">
        <f t="shared" si="16"/>
        <v>25964</v>
      </c>
      <c r="X79" s="35"/>
      <c r="Y79" s="35"/>
      <c r="Z79" s="35"/>
      <c r="AA79" s="35">
        <v>24480</v>
      </c>
      <c r="AB79" s="35">
        <v>750</v>
      </c>
      <c r="AC79" s="35">
        <v>734</v>
      </c>
      <c r="AD79" s="35"/>
      <c r="AE79" s="35"/>
      <c r="AF79" s="35"/>
      <c r="AG79" s="35"/>
      <c r="AH79" s="35"/>
      <c r="AI79" s="35"/>
      <c r="AJ79" s="35">
        <f t="shared" si="56"/>
        <v>25964</v>
      </c>
      <c r="AK79" s="35"/>
      <c r="AL79" s="35"/>
      <c r="AM79" s="35"/>
      <c r="AN79" s="35">
        <v>24480</v>
      </c>
      <c r="AO79" s="35">
        <v>750</v>
      </c>
      <c r="AP79" s="35">
        <v>734</v>
      </c>
      <c r="AQ79" s="35"/>
      <c r="AR79" s="35"/>
      <c r="AS79" s="35"/>
      <c r="AT79" s="35"/>
      <c r="AU79" s="35"/>
      <c r="AV79" s="35"/>
      <c r="AW79" s="35">
        <f t="shared" si="1"/>
        <v>25964</v>
      </c>
      <c r="AX79" s="35">
        <f t="shared" si="96"/>
        <v>77892</v>
      </c>
      <c r="AY79" s="35"/>
      <c r="AZ79" s="35"/>
      <c r="BA79" s="35"/>
      <c r="BB79" s="35">
        <v>24480</v>
      </c>
      <c r="BC79" s="35">
        <v>750</v>
      </c>
      <c r="BD79" s="35">
        <v>734</v>
      </c>
      <c r="BE79" s="35"/>
      <c r="BF79" s="35"/>
      <c r="BG79" s="35"/>
      <c r="BH79" s="35"/>
      <c r="BI79" s="35"/>
      <c r="BJ79" s="35"/>
      <c r="BK79" s="35">
        <f t="shared" si="5"/>
        <v>25964</v>
      </c>
      <c r="BL79" s="35"/>
      <c r="BM79" s="35"/>
      <c r="BN79" s="35"/>
      <c r="BO79" s="35">
        <v>24480</v>
      </c>
      <c r="BP79" s="35">
        <v>750</v>
      </c>
      <c r="BQ79" s="35">
        <v>734</v>
      </c>
      <c r="BR79" s="35"/>
      <c r="BS79" s="35"/>
      <c r="BT79" s="35"/>
      <c r="BU79" s="35"/>
      <c r="BV79" s="35"/>
      <c r="BW79" s="35"/>
      <c r="BX79" s="35">
        <f t="shared" si="6"/>
        <v>25964</v>
      </c>
      <c r="BY79" s="35"/>
      <c r="BZ79" s="35"/>
      <c r="CA79" s="35"/>
      <c r="CB79" s="35">
        <v>24480</v>
      </c>
      <c r="CC79" s="35">
        <v>750</v>
      </c>
      <c r="CD79" s="35">
        <v>734</v>
      </c>
      <c r="CE79" s="35"/>
      <c r="CF79" s="35"/>
      <c r="CG79" s="35"/>
      <c r="CH79" s="35"/>
      <c r="CI79" s="35"/>
      <c r="CJ79" s="35"/>
      <c r="CK79" s="35">
        <f t="shared" si="7"/>
        <v>25964</v>
      </c>
      <c r="CL79" s="35">
        <f t="shared" si="8"/>
        <v>77892</v>
      </c>
      <c r="CM79" s="35"/>
      <c r="CN79" s="35"/>
      <c r="CO79" s="35"/>
      <c r="CP79" s="35">
        <v>25700</v>
      </c>
      <c r="CQ79" s="35">
        <v>750</v>
      </c>
      <c r="CR79" s="35">
        <v>771</v>
      </c>
      <c r="CS79" s="35"/>
      <c r="CT79" s="35"/>
      <c r="CU79" s="35"/>
      <c r="CV79" s="35"/>
      <c r="CW79" s="35"/>
      <c r="CX79" s="35"/>
      <c r="CY79" s="35">
        <f t="shared" si="9"/>
        <v>27221</v>
      </c>
      <c r="CZ79" s="35"/>
      <c r="DA79" s="35"/>
      <c r="DB79" s="35"/>
      <c r="DC79" s="35">
        <f>7320+25700</f>
        <v>33020</v>
      </c>
      <c r="DD79" s="35">
        <v>750</v>
      </c>
      <c r="DE79" s="35">
        <f>222+771</f>
        <v>993</v>
      </c>
      <c r="DF79" s="35"/>
      <c r="DG79" s="35"/>
      <c r="DH79" s="35"/>
      <c r="DI79" s="35"/>
      <c r="DJ79" s="35"/>
      <c r="DK79" s="35"/>
      <c r="DL79" s="35">
        <f t="shared" si="3"/>
        <v>34763</v>
      </c>
      <c r="DM79" s="35"/>
      <c r="DN79" s="35"/>
      <c r="DO79" s="35"/>
      <c r="DP79" s="35">
        <v>25700</v>
      </c>
      <c r="DQ79" s="35">
        <v>750</v>
      </c>
      <c r="DR79" s="35">
        <v>771</v>
      </c>
      <c r="DS79" s="35"/>
      <c r="DT79" s="35"/>
      <c r="DU79" s="35"/>
      <c r="DV79" s="35"/>
      <c r="DW79" s="35"/>
      <c r="DX79" s="35"/>
      <c r="DY79" s="35">
        <f t="shared" si="10"/>
        <v>27221</v>
      </c>
      <c r="DZ79" s="35">
        <f t="shared" si="11"/>
        <v>89205</v>
      </c>
      <c r="EA79" s="35"/>
      <c r="EB79" s="35"/>
      <c r="EC79" s="35"/>
      <c r="ED79" s="35">
        <v>25700</v>
      </c>
      <c r="EE79" s="35">
        <v>750</v>
      </c>
      <c r="EF79" s="35">
        <v>0</v>
      </c>
      <c r="EG79" s="35"/>
      <c r="EH79" s="35"/>
      <c r="EI79" s="35"/>
      <c r="EJ79" s="35"/>
      <c r="EK79" s="35"/>
      <c r="EL79" s="35"/>
      <c r="EM79" s="35">
        <f t="shared" si="12"/>
        <v>26450</v>
      </c>
      <c r="EN79" s="35"/>
      <c r="EO79" s="35"/>
      <c r="EP79" s="35"/>
      <c r="EQ79" s="35">
        <v>25700</v>
      </c>
      <c r="ER79" s="35">
        <v>750</v>
      </c>
      <c r="ES79" s="35">
        <v>0</v>
      </c>
      <c r="ET79" s="35"/>
      <c r="EU79" s="35"/>
      <c r="EV79" s="35"/>
      <c r="EW79" s="35"/>
      <c r="EX79" s="35"/>
      <c r="EY79" s="35"/>
      <c r="EZ79" s="35">
        <f t="shared" si="4"/>
        <v>26450</v>
      </c>
      <c r="FA79" s="35"/>
      <c r="FB79" s="35"/>
      <c r="FC79" s="35"/>
      <c r="FD79" s="35">
        <v>25700</v>
      </c>
      <c r="FE79" s="35">
        <v>750</v>
      </c>
      <c r="FF79" s="35">
        <v>0</v>
      </c>
      <c r="FG79" s="35"/>
      <c r="FH79" s="35"/>
      <c r="FI79" s="35"/>
      <c r="FJ79" s="35"/>
      <c r="FK79" s="35"/>
      <c r="FL79" s="35"/>
      <c r="FM79" s="35">
        <f t="shared" si="13"/>
        <v>26450</v>
      </c>
      <c r="FN79" s="35">
        <f t="shared" si="14"/>
        <v>79350</v>
      </c>
      <c r="FO79" s="35">
        <f t="shared" si="15"/>
        <v>324339</v>
      </c>
    </row>
    <row r="80" spans="1:171" x14ac:dyDescent="0.35">
      <c r="A80" s="34"/>
      <c r="B80" s="40"/>
      <c r="C80" s="58"/>
      <c r="D80" s="79" t="s">
        <v>176</v>
      </c>
      <c r="E80" s="58" t="s">
        <v>9</v>
      </c>
      <c r="F80" s="58" t="s">
        <v>17</v>
      </c>
      <c r="G80" s="58"/>
      <c r="H80" s="58"/>
      <c r="I80" s="58"/>
      <c r="J80" s="58"/>
      <c r="K80" s="35"/>
      <c r="L80" s="35"/>
      <c r="M80" s="35"/>
      <c r="N80" s="35">
        <v>24480</v>
      </c>
      <c r="O80" s="35">
        <v>750</v>
      </c>
      <c r="P80" s="35">
        <v>734</v>
      </c>
      <c r="Q80" s="35"/>
      <c r="R80" s="35"/>
      <c r="S80" s="35"/>
      <c r="T80" s="35"/>
      <c r="U80" s="35"/>
      <c r="V80" s="35"/>
      <c r="W80" s="35">
        <f t="shared" si="16"/>
        <v>25964</v>
      </c>
      <c r="X80" s="35"/>
      <c r="Y80" s="35"/>
      <c r="Z80" s="35"/>
      <c r="AA80" s="35">
        <v>24480</v>
      </c>
      <c r="AB80" s="35">
        <v>750</v>
      </c>
      <c r="AC80" s="35">
        <v>734</v>
      </c>
      <c r="AD80" s="35"/>
      <c r="AE80" s="35"/>
      <c r="AF80" s="35"/>
      <c r="AG80" s="35"/>
      <c r="AH80" s="35"/>
      <c r="AI80" s="35"/>
      <c r="AJ80" s="35">
        <f t="shared" ref="AJ80:AJ113" si="97">SUM(X80:AI80)</f>
        <v>25964</v>
      </c>
      <c r="AK80" s="35"/>
      <c r="AL80" s="35"/>
      <c r="AM80" s="35"/>
      <c r="AN80" s="35">
        <v>24480</v>
      </c>
      <c r="AO80" s="35">
        <v>750</v>
      </c>
      <c r="AP80" s="35">
        <v>734</v>
      </c>
      <c r="AQ80" s="35"/>
      <c r="AR80" s="35"/>
      <c r="AS80" s="35"/>
      <c r="AT80" s="35"/>
      <c r="AU80" s="35"/>
      <c r="AV80" s="35"/>
      <c r="AW80" s="35">
        <f t="shared" ref="AW80:AW113" si="98">SUM(AK80:AV80)</f>
        <v>25964</v>
      </c>
      <c r="AX80" s="35">
        <f t="shared" si="96"/>
        <v>77892</v>
      </c>
      <c r="AY80" s="35"/>
      <c r="AZ80" s="35"/>
      <c r="BA80" s="35"/>
      <c r="BB80" s="35">
        <v>24480</v>
      </c>
      <c r="BC80" s="35">
        <v>750</v>
      </c>
      <c r="BD80" s="35">
        <v>734</v>
      </c>
      <c r="BE80" s="35"/>
      <c r="BF80" s="35"/>
      <c r="BG80" s="35"/>
      <c r="BH80" s="35"/>
      <c r="BI80" s="35"/>
      <c r="BJ80" s="35"/>
      <c r="BK80" s="35">
        <f t="shared" si="5"/>
        <v>25964</v>
      </c>
      <c r="BL80" s="35"/>
      <c r="BM80" s="35"/>
      <c r="BN80" s="35"/>
      <c r="BO80" s="35">
        <v>24480</v>
      </c>
      <c r="BP80" s="35">
        <v>750</v>
      </c>
      <c r="BQ80" s="35">
        <v>734</v>
      </c>
      <c r="BR80" s="35"/>
      <c r="BS80" s="35"/>
      <c r="BT80" s="35"/>
      <c r="BU80" s="35"/>
      <c r="BV80" s="35"/>
      <c r="BW80" s="35"/>
      <c r="BX80" s="35">
        <f t="shared" ref="BX80:BX145" si="99">SUM(BL80:BW80)</f>
        <v>25964</v>
      </c>
      <c r="BY80" s="35"/>
      <c r="BZ80" s="35"/>
      <c r="CA80" s="35"/>
      <c r="CB80" s="35">
        <v>24480</v>
      </c>
      <c r="CC80" s="35">
        <v>750</v>
      </c>
      <c r="CD80" s="35">
        <v>734</v>
      </c>
      <c r="CE80" s="35"/>
      <c r="CF80" s="35"/>
      <c r="CG80" s="35"/>
      <c r="CH80" s="35"/>
      <c r="CI80" s="35"/>
      <c r="CJ80" s="35"/>
      <c r="CK80" s="35">
        <f t="shared" ref="CK80:CK145" si="100">SUM(BY80:CJ80)</f>
        <v>25964</v>
      </c>
      <c r="CL80" s="35">
        <f t="shared" si="8"/>
        <v>77892</v>
      </c>
      <c r="CM80" s="35"/>
      <c r="CN80" s="35"/>
      <c r="CO80" s="35"/>
      <c r="CP80" s="35">
        <v>25700</v>
      </c>
      <c r="CQ80" s="35">
        <v>750</v>
      </c>
      <c r="CR80" s="35">
        <v>771</v>
      </c>
      <c r="CS80" s="35"/>
      <c r="CT80" s="35"/>
      <c r="CU80" s="35"/>
      <c r="CV80" s="35"/>
      <c r="CW80" s="35"/>
      <c r="CX80" s="35"/>
      <c r="CY80" s="35">
        <f t="shared" si="9"/>
        <v>27221</v>
      </c>
      <c r="CZ80" s="35"/>
      <c r="DA80" s="35"/>
      <c r="DB80" s="35"/>
      <c r="DC80" s="35">
        <f>7320+25700</f>
        <v>33020</v>
      </c>
      <c r="DD80" s="35">
        <v>750</v>
      </c>
      <c r="DE80" s="35">
        <f>222+771</f>
        <v>993</v>
      </c>
      <c r="DF80" s="35"/>
      <c r="DG80" s="35"/>
      <c r="DH80" s="35"/>
      <c r="DI80" s="35"/>
      <c r="DJ80" s="35"/>
      <c r="DK80" s="35"/>
      <c r="DL80" s="35">
        <f t="shared" ref="DL80:DL145" si="101">SUM(CZ80:DK80)</f>
        <v>34763</v>
      </c>
      <c r="DM80" s="35"/>
      <c r="DN80" s="35"/>
      <c r="DO80" s="35"/>
      <c r="DP80" s="35">
        <v>25700</v>
      </c>
      <c r="DQ80" s="35">
        <v>750</v>
      </c>
      <c r="DR80" s="35">
        <v>771</v>
      </c>
      <c r="DS80" s="35"/>
      <c r="DT80" s="35"/>
      <c r="DU80" s="35"/>
      <c r="DV80" s="35"/>
      <c r="DW80" s="35"/>
      <c r="DX80" s="35"/>
      <c r="DY80" s="35">
        <f t="shared" si="10"/>
        <v>27221</v>
      </c>
      <c r="DZ80" s="35">
        <f t="shared" si="11"/>
        <v>89205</v>
      </c>
      <c r="EA80" s="35"/>
      <c r="EB80" s="35"/>
      <c r="EC80" s="35"/>
      <c r="ED80" s="35">
        <v>25700</v>
      </c>
      <c r="EE80" s="35">
        <v>750</v>
      </c>
      <c r="EF80" s="35">
        <v>771</v>
      </c>
      <c r="EG80" s="35"/>
      <c r="EH80" s="35"/>
      <c r="EI80" s="35"/>
      <c r="EJ80" s="35"/>
      <c r="EK80" s="35"/>
      <c r="EL80" s="35"/>
      <c r="EM80" s="35">
        <f t="shared" si="12"/>
        <v>27221</v>
      </c>
      <c r="EN80" s="35"/>
      <c r="EO80" s="35"/>
      <c r="EP80" s="35"/>
      <c r="EQ80" s="35">
        <v>25700</v>
      </c>
      <c r="ER80" s="35">
        <v>750</v>
      </c>
      <c r="ES80" s="35">
        <v>771</v>
      </c>
      <c r="ET80" s="35"/>
      <c r="EU80" s="35"/>
      <c r="EV80" s="35"/>
      <c r="EW80" s="35"/>
      <c r="EX80" s="35"/>
      <c r="EY80" s="35"/>
      <c r="EZ80" s="35">
        <f t="shared" ref="EZ80:EZ145" si="102">SUM(EN80:EY80)</f>
        <v>27221</v>
      </c>
      <c r="FA80" s="35"/>
      <c r="FB80" s="35"/>
      <c r="FC80" s="35"/>
      <c r="FD80" s="35">
        <v>25700</v>
      </c>
      <c r="FE80" s="35">
        <v>750</v>
      </c>
      <c r="FF80" s="35">
        <v>771</v>
      </c>
      <c r="FG80" s="35"/>
      <c r="FH80" s="35"/>
      <c r="FI80" s="35"/>
      <c r="FJ80" s="35"/>
      <c r="FK80" s="35"/>
      <c r="FL80" s="35"/>
      <c r="FM80" s="35">
        <f t="shared" si="13"/>
        <v>27221</v>
      </c>
      <c r="FN80" s="35">
        <f t="shared" si="14"/>
        <v>81663</v>
      </c>
      <c r="FO80" s="35">
        <f t="shared" si="15"/>
        <v>326652</v>
      </c>
    </row>
    <row r="81" spans="1:171" x14ac:dyDescent="0.35">
      <c r="A81" s="34"/>
      <c r="B81" s="40"/>
      <c r="C81" s="58"/>
      <c r="D81" s="79" t="s">
        <v>230</v>
      </c>
      <c r="E81" s="58" t="s">
        <v>9</v>
      </c>
      <c r="F81" s="58" t="s">
        <v>17</v>
      </c>
      <c r="G81" s="58"/>
      <c r="H81" s="58"/>
      <c r="I81" s="58"/>
      <c r="J81" s="58"/>
      <c r="K81" s="35"/>
      <c r="L81" s="35"/>
      <c r="M81" s="35"/>
      <c r="N81" s="35">
        <v>24480</v>
      </c>
      <c r="O81" s="35">
        <v>750</v>
      </c>
      <c r="P81" s="35">
        <v>734</v>
      </c>
      <c r="Q81" s="35"/>
      <c r="R81" s="35"/>
      <c r="S81" s="35"/>
      <c r="T81" s="35"/>
      <c r="U81" s="35"/>
      <c r="V81" s="35"/>
      <c r="W81" s="35">
        <f t="shared" ref="W81:W114" si="103">SUM(K81:V81)</f>
        <v>25964</v>
      </c>
      <c r="X81" s="35"/>
      <c r="Y81" s="35"/>
      <c r="Z81" s="35"/>
      <c r="AA81" s="35">
        <v>24480</v>
      </c>
      <c r="AB81" s="35">
        <v>750</v>
      </c>
      <c r="AC81" s="35">
        <v>734</v>
      </c>
      <c r="AD81" s="35"/>
      <c r="AE81" s="35"/>
      <c r="AF81" s="35"/>
      <c r="AG81" s="35"/>
      <c r="AH81" s="35"/>
      <c r="AI81" s="35"/>
      <c r="AJ81" s="35">
        <f t="shared" si="97"/>
        <v>25964</v>
      </c>
      <c r="AK81" s="35"/>
      <c r="AL81" s="35"/>
      <c r="AM81" s="35"/>
      <c r="AN81" s="35">
        <v>24480</v>
      </c>
      <c r="AO81" s="35">
        <v>750</v>
      </c>
      <c r="AP81" s="35">
        <v>734</v>
      </c>
      <c r="AQ81" s="35"/>
      <c r="AR81" s="35"/>
      <c r="AS81" s="35"/>
      <c r="AT81" s="35"/>
      <c r="AU81" s="35"/>
      <c r="AV81" s="35"/>
      <c r="AW81" s="35">
        <f t="shared" si="98"/>
        <v>25964</v>
      </c>
      <c r="AX81" s="35">
        <f t="shared" si="96"/>
        <v>77892</v>
      </c>
      <c r="AY81" s="35"/>
      <c r="AZ81" s="35"/>
      <c r="BA81" s="35"/>
      <c r="BB81" s="35">
        <v>24480</v>
      </c>
      <c r="BC81" s="35">
        <v>750</v>
      </c>
      <c r="BD81" s="35">
        <v>734</v>
      </c>
      <c r="BE81" s="35"/>
      <c r="BF81" s="35"/>
      <c r="BG81" s="35"/>
      <c r="BH81" s="35"/>
      <c r="BI81" s="35"/>
      <c r="BJ81" s="35"/>
      <c r="BK81" s="35">
        <f t="shared" ref="BK81:BK114" si="104">SUM(AY81:BJ81)</f>
        <v>25964</v>
      </c>
      <c r="BL81" s="35"/>
      <c r="BM81" s="35"/>
      <c r="BN81" s="35"/>
      <c r="BO81" s="35">
        <v>24480</v>
      </c>
      <c r="BP81" s="35">
        <v>750</v>
      </c>
      <c r="BQ81" s="35">
        <v>734</v>
      </c>
      <c r="BR81" s="35"/>
      <c r="BS81" s="35"/>
      <c r="BT81" s="35"/>
      <c r="BU81" s="35"/>
      <c r="BV81" s="35"/>
      <c r="BW81" s="35"/>
      <c r="BX81" s="35">
        <f t="shared" si="99"/>
        <v>25964</v>
      </c>
      <c r="BY81" s="35"/>
      <c r="BZ81" s="35"/>
      <c r="CA81" s="35"/>
      <c r="CB81" s="35">
        <v>24480</v>
      </c>
      <c r="CC81" s="35">
        <v>750</v>
      </c>
      <c r="CD81" s="35">
        <v>734</v>
      </c>
      <c r="CE81" s="35"/>
      <c r="CF81" s="35"/>
      <c r="CG81" s="35"/>
      <c r="CH81" s="35"/>
      <c r="CI81" s="35"/>
      <c r="CJ81" s="35"/>
      <c r="CK81" s="35">
        <f t="shared" si="100"/>
        <v>25964</v>
      </c>
      <c r="CL81" s="35">
        <f t="shared" ref="CL81:CL146" si="105">+BK81+BX81+CK81</f>
        <v>77892</v>
      </c>
      <c r="CM81" s="35"/>
      <c r="CN81" s="35"/>
      <c r="CO81" s="35"/>
      <c r="CP81" s="35">
        <v>25700</v>
      </c>
      <c r="CQ81" s="35">
        <v>750</v>
      </c>
      <c r="CR81" s="35">
        <v>771</v>
      </c>
      <c r="CS81" s="35"/>
      <c r="CT81" s="35"/>
      <c r="CU81" s="35"/>
      <c r="CV81" s="35"/>
      <c r="CW81" s="35"/>
      <c r="CX81" s="35"/>
      <c r="CY81" s="35">
        <f t="shared" ref="CY81:CY146" si="106">SUM(CM81:CX81)</f>
        <v>27221</v>
      </c>
      <c r="CZ81" s="35"/>
      <c r="DA81" s="35"/>
      <c r="DB81" s="35"/>
      <c r="DC81" s="35">
        <f>7320+25700</f>
        <v>33020</v>
      </c>
      <c r="DD81" s="35">
        <v>750</v>
      </c>
      <c r="DE81" s="35">
        <f>222+771</f>
        <v>993</v>
      </c>
      <c r="DF81" s="35"/>
      <c r="DG81" s="35"/>
      <c r="DH81" s="35"/>
      <c r="DI81" s="35"/>
      <c r="DJ81" s="35"/>
      <c r="DK81" s="35"/>
      <c r="DL81" s="35">
        <f t="shared" si="101"/>
        <v>34763</v>
      </c>
      <c r="DM81" s="35"/>
      <c r="DN81" s="35"/>
      <c r="DO81" s="35"/>
      <c r="DP81" s="35">
        <v>25700</v>
      </c>
      <c r="DQ81" s="35">
        <v>750</v>
      </c>
      <c r="DR81" s="35">
        <v>771</v>
      </c>
      <c r="DS81" s="35"/>
      <c r="DT81" s="35"/>
      <c r="DU81" s="35"/>
      <c r="DV81" s="35"/>
      <c r="DW81" s="35"/>
      <c r="DX81" s="35"/>
      <c r="DY81" s="35">
        <f t="shared" ref="DY81:DY146" si="107">SUM(DM81:DX81)</f>
        <v>27221</v>
      </c>
      <c r="DZ81" s="35">
        <f t="shared" ref="DZ81:DZ146" si="108">+CY81+DL81+DY81</f>
        <v>89205</v>
      </c>
      <c r="EA81" s="35"/>
      <c r="EB81" s="35"/>
      <c r="EC81" s="35"/>
      <c r="ED81" s="35">
        <v>25700</v>
      </c>
      <c r="EE81" s="35">
        <v>750</v>
      </c>
      <c r="EF81" s="35">
        <v>771</v>
      </c>
      <c r="EG81" s="35"/>
      <c r="EH81" s="35"/>
      <c r="EI81" s="35"/>
      <c r="EJ81" s="35"/>
      <c r="EK81" s="35"/>
      <c r="EL81" s="35"/>
      <c r="EM81" s="35">
        <f t="shared" ref="EM81:EM146" si="109">SUM(EA81:EL81)</f>
        <v>27221</v>
      </c>
      <c r="EN81" s="35"/>
      <c r="EO81" s="35"/>
      <c r="EP81" s="35"/>
      <c r="EQ81" s="35">
        <v>25700</v>
      </c>
      <c r="ER81" s="35">
        <v>750</v>
      </c>
      <c r="ES81" s="35">
        <v>771</v>
      </c>
      <c r="ET81" s="35"/>
      <c r="EU81" s="35"/>
      <c r="EV81" s="35"/>
      <c r="EW81" s="35"/>
      <c r="EX81" s="35"/>
      <c r="EY81" s="35"/>
      <c r="EZ81" s="35">
        <f t="shared" si="102"/>
        <v>27221</v>
      </c>
      <c r="FA81" s="35"/>
      <c r="FB81" s="35"/>
      <c r="FC81" s="35"/>
      <c r="FD81" s="35">
        <v>25700</v>
      </c>
      <c r="FE81" s="35">
        <v>750</v>
      </c>
      <c r="FF81" s="35">
        <v>771</v>
      </c>
      <c r="FG81" s="35"/>
      <c r="FH81" s="35"/>
      <c r="FI81" s="35"/>
      <c r="FJ81" s="35"/>
      <c r="FK81" s="35"/>
      <c r="FL81" s="35"/>
      <c r="FM81" s="35">
        <f t="shared" ref="FM81:FM146" si="110">SUM(FA81:FL81)</f>
        <v>27221</v>
      </c>
      <c r="FN81" s="35">
        <f t="shared" ref="FN81:FN146" si="111">+EM81+EZ81+FM81</f>
        <v>81663</v>
      </c>
      <c r="FO81" s="35">
        <f t="shared" ref="FO81:FO146" si="112">+AX81+CL81+DZ81+FN81</f>
        <v>326652</v>
      </c>
    </row>
    <row r="82" spans="1:171" x14ac:dyDescent="0.35">
      <c r="A82" s="34"/>
      <c r="B82" s="40"/>
      <c r="C82" s="58"/>
      <c r="D82" s="79" t="s">
        <v>177</v>
      </c>
      <c r="E82" s="58" t="s">
        <v>9</v>
      </c>
      <c r="F82" s="58" t="s">
        <v>17</v>
      </c>
      <c r="G82" s="58"/>
      <c r="H82" s="58"/>
      <c r="I82" s="58"/>
      <c r="J82" s="58"/>
      <c r="K82" s="35"/>
      <c r="L82" s="35"/>
      <c r="M82" s="35"/>
      <c r="N82" s="35">
        <v>24460</v>
      </c>
      <c r="O82" s="35">
        <v>750</v>
      </c>
      <c r="P82" s="35">
        <v>734</v>
      </c>
      <c r="Q82" s="35"/>
      <c r="R82" s="35"/>
      <c r="S82" s="35"/>
      <c r="T82" s="35"/>
      <c r="U82" s="35"/>
      <c r="V82" s="35"/>
      <c r="W82" s="35">
        <f t="shared" si="103"/>
        <v>25944</v>
      </c>
      <c r="X82" s="35"/>
      <c r="Y82" s="35"/>
      <c r="Z82" s="35"/>
      <c r="AA82" s="35">
        <v>24460</v>
      </c>
      <c r="AB82" s="35">
        <v>750</v>
      </c>
      <c r="AC82" s="35">
        <v>734</v>
      </c>
      <c r="AD82" s="35"/>
      <c r="AE82" s="35"/>
      <c r="AF82" s="35"/>
      <c r="AG82" s="35"/>
      <c r="AH82" s="35"/>
      <c r="AI82" s="35"/>
      <c r="AJ82" s="35">
        <f t="shared" si="97"/>
        <v>25944</v>
      </c>
      <c r="AK82" s="35"/>
      <c r="AL82" s="35"/>
      <c r="AM82" s="35"/>
      <c r="AN82" s="35">
        <v>24460</v>
      </c>
      <c r="AO82" s="35">
        <v>750</v>
      </c>
      <c r="AP82" s="35">
        <v>734</v>
      </c>
      <c r="AQ82" s="35"/>
      <c r="AR82" s="35"/>
      <c r="AS82" s="35"/>
      <c r="AT82" s="35"/>
      <c r="AU82" s="35"/>
      <c r="AV82" s="35"/>
      <c r="AW82" s="35">
        <f t="shared" si="98"/>
        <v>25944</v>
      </c>
      <c r="AX82" s="35">
        <f t="shared" si="96"/>
        <v>77832</v>
      </c>
      <c r="AY82" s="35"/>
      <c r="AZ82" s="35"/>
      <c r="BA82" s="35"/>
      <c r="BB82" s="35">
        <v>24460</v>
      </c>
      <c r="BC82" s="35">
        <v>750</v>
      </c>
      <c r="BD82" s="35">
        <v>734</v>
      </c>
      <c r="BE82" s="35"/>
      <c r="BF82" s="35"/>
      <c r="BG82" s="35"/>
      <c r="BH82" s="35"/>
      <c r="BI82" s="35"/>
      <c r="BJ82" s="35"/>
      <c r="BK82" s="35">
        <f t="shared" si="104"/>
        <v>25944</v>
      </c>
      <c r="BL82" s="35"/>
      <c r="BM82" s="35"/>
      <c r="BN82" s="35"/>
      <c r="BO82" s="35">
        <v>24460</v>
      </c>
      <c r="BP82" s="35">
        <v>750</v>
      </c>
      <c r="BQ82" s="35">
        <v>734</v>
      </c>
      <c r="BR82" s="35"/>
      <c r="BS82" s="35"/>
      <c r="BT82" s="35"/>
      <c r="BU82" s="35"/>
      <c r="BV82" s="35"/>
      <c r="BW82" s="35"/>
      <c r="BX82" s="35">
        <f t="shared" si="99"/>
        <v>25944</v>
      </c>
      <c r="BY82" s="35"/>
      <c r="BZ82" s="35"/>
      <c r="CA82" s="35"/>
      <c r="CB82" s="35">
        <v>24460</v>
      </c>
      <c r="CC82" s="35">
        <v>750</v>
      </c>
      <c r="CD82" s="35">
        <v>734</v>
      </c>
      <c r="CE82" s="35"/>
      <c r="CF82" s="35"/>
      <c r="CG82" s="35"/>
      <c r="CH82" s="35"/>
      <c r="CI82" s="35"/>
      <c r="CJ82" s="35"/>
      <c r="CK82" s="35">
        <f t="shared" si="100"/>
        <v>25944</v>
      </c>
      <c r="CL82" s="35">
        <f t="shared" si="105"/>
        <v>77832</v>
      </c>
      <c r="CM82" s="35"/>
      <c r="CN82" s="35"/>
      <c r="CO82" s="35"/>
      <c r="CP82" s="35">
        <v>25680</v>
      </c>
      <c r="CQ82" s="35">
        <v>750</v>
      </c>
      <c r="CR82" s="35">
        <v>770</v>
      </c>
      <c r="CS82" s="35"/>
      <c r="CT82" s="35"/>
      <c r="CU82" s="35"/>
      <c r="CV82" s="35"/>
      <c r="CW82" s="35"/>
      <c r="CX82" s="35"/>
      <c r="CY82" s="35">
        <f t="shared" si="106"/>
        <v>27200</v>
      </c>
      <c r="CZ82" s="35"/>
      <c r="DA82" s="35"/>
      <c r="DB82" s="35"/>
      <c r="DC82" s="35">
        <f>7320+25680</f>
        <v>33000</v>
      </c>
      <c r="DD82" s="35">
        <v>750</v>
      </c>
      <c r="DE82" s="35">
        <f>222+770</f>
        <v>992</v>
      </c>
      <c r="DF82" s="35"/>
      <c r="DG82" s="35"/>
      <c r="DH82" s="35"/>
      <c r="DI82" s="35"/>
      <c r="DJ82" s="35"/>
      <c r="DK82" s="35"/>
      <c r="DL82" s="35">
        <f t="shared" si="101"/>
        <v>34742</v>
      </c>
      <c r="DM82" s="35"/>
      <c r="DN82" s="35"/>
      <c r="DO82" s="35"/>
      <c r="DP82" s="35">
        <v>25680</v>
      </c>
      <c r="DQ82" s="35">
        <v>750</v>
      </c>
      <c r="DR82" s="35">
        <v>770</v>
      </c>
      <c r="DS82" s="35"/>
      <c r="DT82" s="35"/>
      <c r="DU82" s="35"/>
      <c r="DV82" s="35"/>
      <c r="DW82" s="35"/>
      <c r="DX82" s="35"/>
      <c r="DY82" s="35">
        <f t="shared" si="107"/>
        <v>27200</v>
      </c>
      <c r="DZ82" s="35">
        <f t="shared" si="108"/>
        <v>89142</v>
      </c>
      <c r="EA82" s="35"/>
      <c r="EB82" s="35"/>
      <c r="EC82" s="35"/>
      <c r="ED82" s="35">
        <v>25680</v>
      </c>
      <c r="EE82" s="35">
        <v>750</v>
      </c>
      <c r="EF82" s="35">
        <v>0</v>
      </c>
      <c r="EG82" s="35"/>
      <c r="EH82" s="35"/>
      <c r="EI82" s="35"/>
      <c r="EJ82" s="35"/>
      <c r="EK82" s="35"/>
      <c r="EL82" s="35"/>
      <c r="EM82" s="35">
        <f t="shared" si="109"/>
        <v>26430</v>
      </c>
      <c r="EN82" s="35"/>
      <c r="EO82" s="35"/>
      <c r="EP82" s="35"/>
      <c r="EQ82" s="35">
        <v>25680</v>
      </c>
      <c r="ER82" s="35">
        <v>750</v>
      </c>
      <c r="ES82" s="35">
        <v>0</v>
      </c>
      <c r="ET82" s="35"/>
      <c r="EU82" s="35"/>
      <c r="EV82" s="35"/>
      <c r="EW82" s="35"/>
      <c r="EX82" s="35"/>
      <c r="EY82" s="35"/>
      <c r="EZ82" s="35">
        <f t="shared" si="102"/>
        <v>26430</v>
      </c>
      <c r="FA82" s="35"/>
      <c r="FB82" s="35"/>
      <c r="FC82" s="35"/>
      <c r="FD82" s="35">
        <v>25680</v>
      </c>
      <c r="FE82" s="35">
        <v>750</v>
      </c>
      <c r="FF82" s="35">
        <v>0</v>
      </c>
      <c r="FG82" s="35"/>
      <c r="FH82" s="35"/>
      <c r="FI82" s="35"/>
      <c r="FJ82" s="35"/>
      <c r="FK82" s="35"/>
      <c r="FL82" s="35"/>
      <c r="FM82" s="35">
        <f t="shared" si="110"/>
        <v>26430</v>
      </c>
      <c r="FN82" s="35">
        <f t="shared" si="111"/>
        <v>79290</v>
      </c>
      <c r="FO82" s="35">
        <f t="shared" si="112"/>
        <v>324096</v>
      </c>
    </row>
    <row r="83" spans="1:171" x14ac:dyDescent="0.35">
      <c r="A83" s="34"/>
      <c r="B83" s="40"/>
      <c r="C83" s="58"/>
      <c r="D83" s="79" t="s">
        <v>178</v>
      </c>
      <c r="E83" s="58" t="s">
        <v>9</v>
      </c>
      <c r="F83" s="58" t="s">
        <v>17</v>
      </c>
      <c r="G83" s="58"/>
      <c r="H83" s="58"/>
      <c r="I83" s="58"/>
      <c r="J83" s="58"/>
      <c r="K83" s="35"/>
      <c r="L83" s="35"/>
      <c r="M83" s="35"/>
      <c r="N83" s="35">
        <v>24480</v>
      </c>
      <c r="O83" s="35">
        <v>750</v>
      </c>
      <c r="P83" s="35">
        <v>734</v>
      </c>
      <c r="Q83" s="35"/>
      <c r="R83" s="35"/>
      <c r="S83" s="35"/>
      <c r="T83" s="35"/>
      <c r="U83" s="35"/>
      <c r="V83" s="35"/>
      <c r="W83" s="35">
        <f t="shared" si="103"/>
        <v>25964</v>
      </c>
      <c r="X83" s="35"/>
      <c r="Y83" s="35"/>
      <c r="Z83" s="35"/>
      <c r="AA83" s="35">
        <v>24480</v>
      </c>
      <c r="AB83" s="35">
        <v>750</v>
      </c>
      <c r="AC83" s="35">
        <v>734</v>
      </c>
      <c r="AD83" s="35"/>
      <c r="AE83" s="35"/>
      <c r="AF83" s="35"/>
      <c r="AG83" s="35"/>
      <c r="AH83" s="35"/>
      <c r="AI83" s="35"/>
      <c r="AJ83" s="35">
        <f t="shared" si="97"/>
        <v>25964</v>
      </c>
      <c r="AK83" s="35"/>
      <c r="AL83" s="35"/>
      <c r="AM83" s="35"/>
      <c r="AN83" s="35">
        <v>24480</v>
      </c>
      <c r="AO83" s="35">
        <v>750</v>
      </c>
      <c r="AP83" s="35">
        <v>734</v>
      </c>
      <c r="AQ83" s="35"/>
      <c r="AR83" s="35"/>
      <c r="AS83" s="35"/>
      <c r="AT83" s="35"/>
      <c r="AU83" s="35"/>
      <c r="AV83" s="35"/>
      <c r="AW83" s="35">
        <f t="shared" si="98"/>
        <v>25964</v>
      </c>
      <c r="AX83" s="35">
        <f t="shared" si="96"/>
        <v>77892</v>
      </c>
      <c r="AY83" s="35"/>
      <c r="AZ83" s="35"/>
      <c r="BA83" s="35"/>
      <c r="BB83" s="35">
        <v>24480</v>
      </c>
      <c r="BC83" s="35">
        <v>750</v>
      </c>
      <c r="BD83" s="35">
        <v>734</v>
      </c>
      <c r="BE83" s="35"/>
      <c r="BF83" s="35"/>
      <c r="BG83" s="35"/>
      <c r="BH83" s="35"/>
      <c r="BI83" s="35"/>
      <c r="BJ83" s="35"/>
      <c r="BK83" s="35">
        <f t="shared" si="104"/>
        <v>25964</v>
      </c>
      <c r="BL83" s="35"/>
      <c r="BM83" s="35"/>
      <c r="BN83" s="35"/>
      <c r="BO83" s="35">
        <v>24480</v>
      </c>
      <c r="BP83" s="35">
        <v>750</v>
      </c>
      <c r="BQ83" s="35">
        <v>734</v>
      </c>
      <c r="BR83" s="35"/>
      <c r="BS83" s="35"/>
      <c r="BT83" s="35"/>
      <c r="BU83" s="35"/>
      <c r="BV83" s="35"/>
      <c r="BW83" s="35"/>
      <c r="BX83" s="35">
        <f t="shared" si="99"/>
        <v>25964</v>
      </c>
      <c r="BY83" s="35"/>
      <c r="BZ83" s="35"/>
      <c r="CA83" s="35"/>
      <c r="CB83" s="35">
        <v>24480</v>
      </c>
      <c r="CC83" s="35">
        <v>750</v>
      </c>
      <c r="CD83" s="35">
        <v>734</v>
      </c>
      <c r="CE83" s="35"/>
      <c r="CF83" s="35"/>
      <c r="CG83" s="35"/>
      <c r="CH83" s="35"/>
      <c r="CI83" s="35"/>
      <c r="CJ83" s="35"/>
      <c r="CK83" s="35">
        <f t="shared" si="100"/>
        <v>25964</v>
      </c>
      <c r="CL83" s="35">
        <f t="shared" si="105"/>
        <v>77892</v>
      </c>
      <c r="CM83" s="35"/>
      <c r="CN83" s="35"/>
      <c r="CO83" s="35"/>
      <c r="CP83" s="35">
        <v>25700</v>
      </c>
      <c r="CQ83" s="35">
        <v>750</v>
      </c>
      <c r="CR83" s="35">
        <v>771</v>
      </c>
      <c r="CS83" s="35"/>
      <c r="CT83" s="35"/>
      <c r="CU83" s="35"/>
      <c r="CV83" s="35"/>
      <c r="CW83" s="35"/>
      <c r="CX83" s="35"/>
      <c r="CY83" s="35">
        <f t="shared" si="106"/>
        <v>27221</v>
      </c>
      <c r="CZ83" s="35"/>
      <c r="DA83" s="35"/>
      <c r="DB83" s="35"/>
      <c r="DC83" s="35">
        <f>7320+25700</f>
        <v>33020</v>
      </c>
      <c r="DD83" s="35">
        <v>750</v>
      </c>
      <c r="DE83" s="35">
        <f>222+771</f>
        <v>993</v>
      </c>
      <c r="DF83" s="35"/>
      <c r="DG83" s="35"/>
      <c r="DH83" s="35"/>
      <c r="DI83" s="35"/>
      <c r="DJ83" s="35"/>
      <c r="DK83" s="35"/>
      <c r="DL83" s="35">
        <f t="shared" si="101"/>
        <v>34763</v>
      </c>
      <c r="DM83" s="35"/>
      <c r="DN83" s="35"/>
      <c r="DO83" s="35"/>
      <c r="DP83" s="35">
        <v>25700</v>
      </c>
      <c r="DQ83" s="35">
        <v>750</v>
      </c>
      <c r="DR83" s="35">
        <v>771</v>
      </c>
      <c r="DS83" s="35"/>
      <c r="DT83" s="35"/>
      <c r="DU83" s="35"/>
      <c r="DV83" s="35"/>
      <c r="DW83" s="35"/>
      <c r="DX83" s="35"/>
      <c r="DY83" s="35">
        <f t="shared" si="107"/>
        <v>27221</v>
      </c>
      <c r="DZ83" s="35">
        <f t="shared" si="108"/>
        <v>89205</v>
      </c>
      <c r="EA83" s="35"/>
      <c r="EB83" s="35"/>
      <c r="EC83" s="35"/>
      <c r="ED83" s="35">
        <v>25700</v>
      </c>
      <c r="EE83" s="35">
        <v>750</v>
      </c>
      <c r="EF83" s="35">
        <v>771</v>
      </c>
      <c r="EG83" s="35"/>
      <c r="EH83" s="35"/>
      <c r="EI83" s="35"/>
      <c r="EJ83" s="35"/>
      <c r="EK83" s="35"/>
      <c r="EL83" s="35"/>
      <c r="EM83" s="35">
        <f t="shared" si="109"/>
        <v>27221</v>
      </c>
      <c r="EN83" s="35"/>
      <c r="EO83" s="35"/>
      <c r="EP83" s="35"/>
      <c r="EQ83" s="35">
        <v>25700</v>
      </c>
      <c r="ER83" s="35">
        <v>750</v>
      </c>
      <c r="ES83" s="35">
        <v>771</v>
      </c>
      <c r="ET83" s="35"/>
      <c r="EU83" s="35"/>
      <c r="EV83" s="35"/>
      <c r="EW83" s="35"/>
      <c r="EX83" s="35"/>
      <c r="EY83" s="35"/>
      <c r="EZ83" s="35">
        <f t="shared" si="102"/>
        <v>27221</v>
      </c>
      <c r="FA83" s="35"/>
      <c r="FB83" s="35"/>
      <c r="FC83" s="35"/>
      <c r="FD83" s="35">
        <v>25700</v>
      </c>
      <c r="FE83" s="35">
        <v>750</v>
      </c>
      <c r="FF83" s="35">
        <v>771</v>
      </c>
      <c r="FG83" s="35"/>
      <c r="FH83" s="35"/>
      <c r="FI83" s="35"/>
      <c r="FJ83" s="35"/>
      <c r="FK83" s="35"/>
      <c r="FL83" s="35"/>
      <c r="FM83" s="35">
        <f t="shared" si="110"/>
        <v>27221</v>
      </c>
      <c r="FN83" s="35">
        <f t="shared" si="111"/>
        <v>81663</v>
      </c>
      <c r="FO83" s="35">
        <f t="shared" si="112"/>
        <v>326652</v>
      </c>
    </row>
    <row r="84" spans="1:171" x14ac:dyDescent="0.35">
      <c r="A84" s="34"/>
      <c r="B84" s="40"/>
      <c r="C84" s="58"/>
      <c r="D84" s="79" t="s">
        <v>179</v>
      </c>
      <c r="E84" s="58" t="s">
        <v>9</v>
      </c>
      <c r="F84" s="58" t="s">
        <v>17</v>
      </c>
      <c r="G84" s="58"/>
      <c r="H84" s="58"/>
      <c r="I84" s="58"/>
      <c r="J84" s="58"/>
      <c r="K84" s="35"/>
      <c r="L84" s="35"/>
      <c r="M84" s="35"/>
      <c r="N84" s="35">
        <v>23980</v>
      </c>
      <c r="O84" s="35">
        <v>750</v>
      </c>
      <c r="P84" s="35">
        <v>719</v>
      </c>
      <c r="Q84" s="35"/>
      <c r="R84" s="35"/>
      <c r="S84" s="35"/>
      <c r="T84" s="35"/>
      <c r="U84" s="35"/>
      <c r="V84" s="35"/>
      <c r="W84" s="35">
        <f t="shared" si="103"/>
        <v>25449</v>
      </c>
      <c r="X84" s="35"/>
      <c r="Y84" s="35"/>
      <c r="Z84" s="35"/>
      <c r="AA84" s="35">
        <v>23980</v>
      </c>
      <c r="AB84" s="35">
        <v>750</v>
      </c>
      <c r="AC84" s="35">
        <v>719</v>
      </c>
      <c r="AD84" s="35"/>
      <c r="AE84" s="35"/>
      <c r="AF84" s="35"/>
      <c r="AG84" s="35"/>
      <c r="AH84" s="35"/>
      <c r="AI84" s="35"/>
      <c r="AJ84" s="35">
        <f t="shared" si="97"/>
        <v>25449</v>
      </c>
      <c r="AK84" s="35"/>
      <c r="AL84" s="35"/>
      <c r="AM84" s="35"/>
      <c r="AN84" s="35">
        <v>23980</v>
      </c>
      <c r="AO84" s="35">
        <v>750</v>
      </c>
      <c r="AP84" s="35">
        <v>719</v>
      </c>
      <c r="AQ84" s="35"/>
      <c r="AR84" s="35"/>
      <c r="AS84" s="35"/>
      <c r="AT84" s="35"/>
      <c r="AU84" s="35"/>
      <c r="AV84" s="35"/>
      <c r="AW84" s="35">
        <f t="shared" si="98"/>
        <v>25449</v>
      </c>
      <c r="AX84" s="35">
        <f t="shared" si="96"/>
        <v>76347</v>
      </c>
      <c r="AY84" s="35"/>
      <c r="AZ84" s="35"/>
      <c r="BA84" s="35"/>
      <c r="BB84" s="35">
        <v>23980</v>
      </c>
      <c r="BC84" s="35">
        <v>750</v>
      </c>
      <c r="BD84" s="35">
        <v>719</v>
      </c>
      <c r="BE84" s="35"/>
      <c r="BF84" s="35"/>
      <c r="BG84" s="35"/>
      <c r="BH84" s="35"/>
      <c r="BI84" s="35"/>
      <c r="BJ84" s="35"/>
      <c r="BK84" s="35">
        <f t="shared" si="104"/>
        <v>25449</v>
      </c>
      <c r="BL84" s="35"/>
      <c r="BM84" s="35"/>
      <c r="BN84" s="35"/>
      <c r="BO84" s="35">
        <v>23980</v>
      </c>
      <c r="BP84" s="35">
        <v>750</v>
      </c>
      <c r="BQ84" s="35">
        <v>719</v>
      </c>
      <c r="BR84" s="35"/>
      <c r="BS84" s="35"/>
      <c r="BT84" s="35"/>
      <c r="BU84" s="35"/>
      <c r="BV84" s="35"/>
      <c r="BW84" s="35"/>
      <c r="BX84" s="35">
        <f t="shared" si="99"/>
        <v>25449</v>
      </c>
      <c r="BY84" s="35"/>
      <c r="BZ84" s="35"/>
      <c r="CA84" s="35"/>
      <c r="CB84" s="35">
        <v>23980</v>
      </c>
      <c r="CC84" s="35">
        <v>750</v>
      </c>
      <c r="CD84" s="35">
        <v>719</v>
      </c>
      <c r="CE84" s="35"/>
      <c r="CF84" s="35"/>
      <c r="CG84" s="35"/>
      <c r="CH84" s="35"/>
      <c r="CI84" s="35"/>
      <c r="CJ84" s="35"/>
      <c r="CK84" s="35">
        <f t="shared" si="100"/>
        <v>25449</v>
      </c>
      <c r="CL84" s="35">
        <f t="shared" si="105"/>
        <v>76347</v>
      </c>
      <c r="CM84" s="35"/>
      <c r="CN84" s="35"/>
      <c r="CO84" s="35"/>
      <c r="CP84" s="35">
        <v>25180</v>
      </c>
      <c r="CQ84" s="35">
        <v>750</v>
      </c>
      <c r="CR84" s="35">
        <v>755</v>
      </c>
      <c r="CS84" s="35"/>
      <c r="CT84" s="35"/>
      <c r="CU84" s="35"/>
      <c r="CV84" s="35"/>
      <c r="CW84" s="35"/>
      <c r="CX84" s="35"/>
      <c r="CY84" s="35">
        <f t="shared" si="106"/>
        <v>26685</v>
      </c>
      <c r="CZ84" s="35"/>
      <c r="DA84" s="35"/>
      <c r="DB84" s="35"/>
      <c r="DC84" s="35">
        <f>7200+25180</f>
        <v>32380</v>
      </c>
      <c r="DD84" s="35">
        <v>750</v>
      </c>
      <c r="DE84" s="35">
        <f>216+755</f>
        <v>971</v>
      </c>
      <c r="DF84" s="35"/>
      <c r="DG84" s="35"/>
      <c r="DH84" s="35"/>
      <c r="DI84" s="35"/>
      <c r="DJ84" s="35"/>
      <c r="DK84" s="35"/>
      <c r="DL84" s="35">
        <f t="shared" si="101"/>
        <v>34101</v>
      </c>
      <c r="DM84" s="35"/>
      <c r="DN84" s="35"/>
      <c r="DO84" s="35"/>
      <c r="DP84" s="35">
        <v>25180</v>
      </c>
      <c r="DQ84" s="35">
        <v>750</v>
      </c>
      <c r="DR84" s="35">
        <v>755</v>
      </c>
      <c r="DS84" s="35"/>
      <c r="DT84" s="35"/>
      <c r="DU84" s="35"/>
      <c r="DV84" s="35"/>
      <c r="DW84" s="35"/>
      <c r="DX84" s="35"/>
      <c r="DY84" s="35">
        <f t="shared" si="107"/>
        <v>26685</v>
      </c>
      <c r="DZ84" s="35">
        <f t="shared" si="108"/>
        <v>87471</v>
      </c>
      <c r="EA84" s="35"/>
      <c r="EB84" s="35"/>
      <c r="EC84" s="35"/>
      <c r="ED84" s="35">
        <v>25180</v>
      </c>
      <c r="EE84" s="35">
        <v>750</v>
      </c>
      <c r="EF84" s="35">
        <v>755</v>
      </c>
      <c r="EG84" s="35"/>
      <c r="EH84" s="35"/>
      <c r="EI84" s="35"/>
      <c r="EJ84" s="35"/>
      <c r="EK84" s="35"/>
      <c r="EL84" s="35"/>
      <c r="EM84" s="35">
        <f t="shared" si="109"/>
        <v>26685</v>
      </c>
      <c r="EN84" s="35"/>
      <c r="EO84" s="35"/>
      <c r="EP84" s="35"/>
      <c r="EQ84" s="35">
        <v>25180</v>
      </c>
      <c r="ER84" s="35">
        <v>750</v>
      </c>
      <c r="ES84" s="35">
        <v>755</v>
      </c>
      <c r="ET84" s="35"/>
      <c r="EU84" s="35"/>
      <c r="EV84" s="35"/>
      <c r="EW84" s="35"/>
      <c r="EX84" s="35"/>
      <c r="EY84" s="35"/>
      <c r="EZ84" s="35">
        <f t="shared" si="102"/>
        <v>26685</v>
      </c>
      <c r="FA84" s="35"/>
      <c r="FB84" s="35"/>
      <c r="FC84" s="35"/>
      <c r="FD84" s="35">
        <v>25180</v>
      </c>
      <c r="FE84" s="35">
        <v>750</v>
      </c>
      <c r="FF84" s="35">
        <v>755</v>
      </c>
      <c r="FG84" s="35"/>
      <c r="FH84" s="35"/>
      <c r="FI84" s="35"/>
      <c r="FJ84" s="35"/>
      <c r="FK84" s="35"/>
      <c r="FL84" s="35"/>
      <c r="FM84" s="35">
        <f t="shared" si="110"/>
        <v>26685</v>
      </c>
      <c r="FN84" s="35">
        <f t="shared" si="111"/>
        <v>80055</v>
      </c>
      <c r="FO84" s="35">
        <f t="shared" si="112"/>
        <v>320220</v>
      </c>
    </row>
    <row r="85" spans="1:171" x14ac:dyDescent="0.35">
      <c r="A85" s="34"/>
      <c r="B85" s="40"/>
      <c r="C85" s="58"/>
      <c r="D85" s="79" t="s">
        <v>180</v>
      </c>
      <c r="E85" s="58" t="s">
        <v>9</v>
      </c>
      <c r="F85" s="58" t="s">
        <v>17</v>
      </c>
      <c r="G85" s="58"/>
      <c r="H85" s="58"/>
      <c r="I85" s="58"/>
      <c r="J85" s="58"/>
      <c r="K85" s="35"/>
      <c r="L85" s="35"/>
      <c r="M85" s="35"/>
      <c r="N85" s="35">
        <v>23980</v>
      </c>
      <c r="O85" s="35">
        <v>750</v>
      </c>
      <c r="P85" s="35">
        <v>719</v>
      </c>
      <c r="Q85" s="35"/>
      <c r="R85" s="35"/>
      <c r="S85" s="35"/>
      <c r="T85" s="35"/>
      <c r="U85" s="35"/>
      <c r="V85" s="35"/>
      <c r="W85" s="35">
        <f t="shared" si="103"/>
        <v>25449</v>
      </c>
      <c r="X85" s="35"/>
      <c r="Y85" s="35"/>
      <c r="Z85" s="35"/>
      <c r="AA85" s="35">
        <v>23980</v>
      </c>
      <c r="AB85" s="35">
        <v>750</v>
      </c>
      <c r="AC85" s="35">
        <v>719</v>
      </c>
      <c r="AD85" s="35"/>
      <c r="AE85" s="35"/>
      <c r="AF85" s="35"/>
      <c r="AG85" s="35"/>
      <c r="AH85" s="35"/>
      <c r="AI85" s="35"/>
      <c r="AJ85" s="35">
        <f t="shared" si="97"/>
        <v>25449</v>
      </c>
      <c r="AK85" s="35"/>
      <c r="AL85" s="35"/>
      <c r="AM85" s="35"/>
      <c r="AN85" s="35">
        <v>23980</v>
      </c>
      <c r="AO85" s="35">
        <v>750</v>
      </c>
      <c r="AP85" s="35">
        <v>719</v>
      </c>
      <c r="AQ85" s="35"/>
      <c r="AR85" s="35"/>
      <c r="AS85" s="35"/>
      <c r="AT85" s="35"/>
      <c r="AU85" s="35"/>
      <c r="AV85" s="35"/>
      <c r="AW85" s="35">
        <f t="shared" si="98"/>
        <v>25449</v>
      </c>
      <c r="AX85" s="35">
        <f t="shared" si="96"/>
        <v>76347</v>
      </c>
      <c r="AY85" s="35"/>
      <c r="AZ85" s="35"/>
      <c r="BA85" s="35"/>
      <c r="BB85" s="35">
        <v>23980</v>
      </c>
      <c r="BC85" s="35">
        <v>750</v>
      </c>
      <c r="BD85" s="35">
        <v>719</v>
      </c>
      <c r="BE85" s="35"/>
      <c r="BF85" s="35"/>
      <c r="BG85" s="35"/>
      <c r="BH85" s="35"/>
      <c r="BI85" s="35"/>
      <c r="BJ85" s="35"/>
      <c r="BK85" s="35">
        <f t="shared" si="104"/>
        <v>25449</v>
      </c>
      <c r="BL85" s="35"/>
      <c r="BM85" s="35"/>
      <c r="BN85" s="35"/>
      <c r="BO85" s="35">
        <v>23980</v>
      </c>
      <c r="BP85" s="35">
        <v>750</v>
      </c>
      <c r="BQ85" s="35">
        <v>719</v>
      </c>
      <c r="BR85" s="35"/>
      <c r="BS85" s="35"/>
      <c r="BT85" s="35"/>
      <c r="BU85" s="35"/>
      <c r="BV85" s="35"/>
      <c r="BW85" s="35"/>
      <c r="BX85" s="35">
        <f t="shared" si="99"/>
        <v>25449</v>
      </c>
      <c r="BY85" s="35"/>
      <c r="BZ85" s="35"/>
      <c r="CA85" s="35"/>
      <c r="CB85" s="35">
        <v>23980</v>
      </c>
      <c r="CC85" s="35">
        <v>750</v>
      </c>
      <c r="CD85" s="35">
        <v>719</v>
      </c>
      <c r="CE85" s="35"/>
      <c r="CF85" s="35"/>
      <c r="CG85" s="35"/>
      <c r="CH85" s="35"/>
      <c r="CI85" s="35"/>
      <c r="CJ85" s="35"/>
      <c r="CK85" s="35">
        <f t="shared" si="100"/>
        <v>25449</v>
      </c>
      <c r="CL85" s="35">
        <f t="shared" si="105"/>
        <v>76347</v>
      </c>
      <c r="CM85" s="35"/>
      <c r="CN85" s="35"/>
      <c r="CO85" s="35"/>
      <c r="CP85" s="35">
        <v>25180</v>
      </c>
      <c r="CQ85" s="35">
        <v>750</v>
      </c>
      <c r="CR85" s="35">
        <v>755</v>
      </c>
      <c r="CS85" s="35"/>
      <c r="CT85" s="35"/>
      <c r="CU85" s="35"/>
      <c r="CV85" s="35"/>
      <c r="CW85" s="35"/>
      <c r="CX85" s="35"/>
      <c r="CY85" s="35">
        <f t="shared" si="106"/>
        <v>26685</v>
      </c>
      <c r="CZ85" s="35"/>
      <c r="DA85" s="35"/>
      <c r="DB85" s="35"/>
      <c r="DC85" s="35">
        <f>7200+25180</f>
        <v>32380</v>
      </c>
      <c r="DD85" s="35">
        <v>750</v>
      </c>
      <c r="DE85" s="35">
        <f>216+755</f>
        <v>971</v>
      </c>
      <c r="DF85" s="35"/>
      <c r="DG85" s="35"/>
      <c r="DH85" s="35"/>
      <c r="DI85" s="35"/>
      <c r="DJ85" s="35"/>
      <c r="DK85" s="35"/>
      <c r="DL85" s="35">
        <f t="shared" si="101"/>
        <v>34101</v>
      </c>
      <c r="DM85" s="35"/>
      <c r="DN85" s="35"/>
      <c r="DO85" s="35"/>
      <c r="DP85" s="35">
        <v>25180</v>
      </c>
      <c r="DQ85" s="35">
        <v>750</v>
      </c>
      <c r="DR85" s="35">
        <v>755</v>
      </c>
      <c r="DS85" s="35"/>
      <c r="DT85" s="35"/>
      <c r="DU85" s="35"/>
      <c r="DV85" s="35"/>
      <c r="DW85" s="35"/>
      <c r="DX85" s="35"/>
      <c r="DY85" s="35">
        <f t="shared" si="107"/>
        <v>26685</v>
      </c>
      <c r="DZ85" s="35">
        <f t="shared" si="108"/>
        <v>87471</v>
      </c>
      <c r="EA85" s="35"/>
      <c r="EB85" s="35"/>
      <c r="EC85" s="35"/>
      <c r="ED85" s="35">
        <v>25180</v>
      </c>
      <c r="EE85" s="35">
        <v>750</v>
      </c>
      <c r="EF85" s="35">
        <v>755</v>
      </c>
      <c r="EG85" s="35"/>
      <c r="EH85" s="35"/>
      <c r="EI85" s="35"/>
      <c r="EJ85" s="35"/>
      <c r="EK85" s="35"/>
      <c r="EL85" s="35"/>
      <c r="EM85" s="35">
        <f t="shared" si="109"/>
        <v>26685</v>
      </c>
      <c r="EN85" s="35"/>
      <c r="EO85" s="35"/>
      <c r="EP85" s="35"/>
      <c r="EQ85" s="35">
        <v>25180</v>
      </c>
      <c r="ER85" s="35">
        <v>750</v>
      </c>
      <c r="ES85" s="35">
        <v>755</v>
      </c>
      <c r="ET85" s="35"/>
      <c r="EU85" s="35"/>
      <c r="EV85" s="35"/>
      <c r="EW85" s="35"/>
      <c r="EX85" s="35"/>
      <c r="EY85" s="35"/>
      <c r="EZ85" s="35">
        <f t="shared" si="102"/>
        <v>26685</v>
      </c>
      <c r="FA85" s="35"/>
      <c r="FB85" s="35"/>
      <c r="FC85" s="35"/>
      <c r="FD85" s="35">
        <v>25180</v>
      </c>
      <c r="FE85" s="35">
        <v>750</v>
      </c>
      <c r="FF85" s="35">
        <v>755</v>
      </c>
      <c r="FG85" s="35"/>
      <c r="FH85" s="35"/>
      <c r="FI85" s="35"/>
      <c r="FJ85" s="35"/>
      <c r="FK85" s="35"/>
      <c r="FL85" s="35"/>
      <c r="FM85" s="35">
        <f t="shared" si="110"/>
        <v>26685</v>
      </c>
      <c r="FN85" s="35">
        <f t="shared" si="111"/>
        <v>80055</v>
      </c>
      <c r="FO85" s="35">
        <f t="shared" si="112"/>
        <v>320220</v>
      </c>
    </row>
    <row r="86" spans="1:171" x14ac:dyDescent="0.35">
      <c r="A86" s="34"/>
      <c r="B86" s="40"/>
      <c r="C86" s="58"/>
      <c r="D86" s="79" t="s">
        <v>181</v>
      </c>
      <c r="E86" s="58" t="s">
        <v>9</v>
      </c>
      <c r="F86" s="58" t="s">
        <v>17</v>
      </c>
      <c r="G86" s="58"/>
      <c r="H86" s="58"/>
      <c r="I86" s="58"/>
      <c r="J86" s="58"/>
      <c r="K86" s="35"/>
      <c r="L86" s="35"/>
      <c r="M86" s="35"/>
      <c r="N86" s="35">
        <v>23980</v>
      </c>
      <c r="O86" s="35">
        <v>750</v>
      </c>
      <c r="P86" s="35">
        <v>719</v>
      </c>
      <c r="Q86" s="35"/>
      <c r="R86" s="35"/>
      <c r="S86" s="35"/>
      <c r="T86" s="35"/>
      <c r="U86" s="35"/>
      <c r="V86" s="35"/>
      <c r="W86" s="35">
        <f t="shared" si="103"/>
        <v>25449</v>
      </c>
      <c r="X86" s="35"/>
      <c r="Y86" s="35"/>
      <c r="Z86" s="35"/>
      <c r="AA86" s="35">
        <v>23980</v>
      </c>
      <c r="AB86" s="35">
        <v>750</v>
      </c>
      <c r="AC86" s="35">
        <v>719</v>
      </c>
      <c r="AD86" s="35"/>
      <c r="AE86" s="35"/>
      <c r="AF86" s="35"/>
      <c r="AG86" s="35"/>
      <c r="AH86" s="35"/>
      <c r="AI86" s="35"/>
      <c r="AJ86" s="35">
        <f t="shared" si="97"/>
        <v>25449</v>
      </c>
      <c r="AK86" s="35"/>
      <c r="AL86" s="35"/>
      <c r="AM86" s="35"/>
      <c r="AN86" s="35">
        <v>23980</v>
      </c>
      <c r="AO86" s="35">
        <v>750</v>
      </c>
      <c r="AP86" s="35">
        <v>719</v>
      </c>
      <c r="AQ86" s="35"/>
      <c r="AR86" s="35"/>
      <c r="AS86" s="35"/>
      <c r="AT86" s="35"/>
      <c r="AU86" s="35"/>
      <c r="AV86" s="35"/>
      <c r="AW86" s="35">
        <f t="shared" si="98"/>
        <v>25449</v>
      </c>
      <c r="AX86" s="35">
        <f t="shared" si="96"/>
        <v>76347</v>
      </c>
      <c r="AY86" s="35"/>
      <c r="AZ86" s="35"/>
      <c r="BA86" s="35"/>
      <c r="BB86" s="35">
        <v>23980</v>
      </c>
      <c r="BC86" s="35">
        <v>750</v>
      </c>
      <c r="BD86" s="35">
        <v>719</v>
      </c>
      <c r="BE86" s="35"/>
      <c r="BF86" s="35"/>
      <c r="BG86" s="35"/>
      <c r="BH86" s="35"/>
      <c r="BI86" s="35"/>
      <c r="BJ86" s="35"/>
      <c r="BK86" s="35">
        <f t="shared" si="104"/>
        <v>25449</v>
      </c>
      <c r="BL86" s="35"/>
      <c r="BM86" s="35"/>
      <c r="BN86" s="35"/>
      <c r="BO86" s="35">
        <v>23980</v>
      </c>
      <c r="BP86" s="35">
        <v>750</v>
      </c>
      <c r="BQ86" s="35">
        <v>719</v>
      </c>
      <c r="BR86" s="35"/>
      <c r="BS86" s="35"/>
      <c r="BT86" s="35"/>
      <c r="BU86" s="35"/>
      <c r="BV86" s="35"/>
      <c r="BW86" s="35"/>
      <c r="BX86" s="35">
        <f t="shared" si="99"/>
        <v>25449</v>
      </c>
      <c r="BY86" s="35"/>
      <c r="BZ86" s="35"/>
      <c r="CA86" s="35"/>
      <c r="CB86" s="35">
        <v>23980</v>
      </c>
      <c r="CC86" s="35">
        <v>750</v>
      </c>
      <c r="CD86" s="35">
        <v>719</v>
      </c>
      <c r="CE86" s="35"/>
      <c r="CF86" s="35"/>
      <c r="CG86" s="35"/>
      <c r="CH86" s="35"/>
      <c r="CI86" s="35"/>
      <c r="CJ86" s="35"/>
      <c r="CK86" s="35">
        <f t="shared" si="100"/>
        <v>25449</v>
      </c>
      <c r="CL86" s="35">
        <f t="shared" si="105"/>
        <v>76347</v>
      </c>
      <c r="CM86" s="35"/>
      <c r="CN86" s="35"/>
      <c r="CO86" s="35"/>
      <c r="CP86" s="35">
        <v>25180</v>
      </c>
      <c r="CQ86" s="35">
        <v>750</v>
      </c>
      <c r="CR86" s="35">
        <v>755</v>
      </c>
      <c r="CS86" s="35"/>
      <c r="CT86" s="35"/>
      <c r="CU86" s="35"/>
      <c r="CV86" s="35"/>
      <c r="CW86" s="35"/>
      <c r="CX86" s="35"/>
      <c r="CY86" s="35">
        <f t="shared" si="106"/>
        <v>26685</v>
      </c>
      <c r="CZ86" s="35"/>
      <c r="DA86" s="35"/>
      <c r="DB86" s="35"/>
      <c r="DC86" s="35">
        <f>7200+25180</f>
        <v>32380</v>
      </c>
      <c r="DD86" s="35">
        <v>750</v>
      </c>
      <c r="DE86" s="35">
        <f>216+755</f>
        <v>971</v>
      </c>
      <c r="DF86" s="35"/>
      <c r="DG86" s="35"/>
      <c r="DH86" s="35"/>
      <c r="DI86" s="35"/>
      <c r="DJ86" s="35"/>
      <c r="DK86" s="35"/>
      <c r="DL86" s="35">
        <f t="shared" si="101"/>
        <v>34101</v>
      </c>
      <c r="DM86" s="35"/>
      <c r="DN86" s="35"/>
      <c r="DO86" s="35"/>
      <c r="DP86" s="35">
        <v>25180</v>
      </c>
      <c r="DQ86" s="35">
        <v>750</v>
      </c>
      <c r="DR86" s="35">
        <v>755</v>
      </c>
      <c r="DS86" s="35"/>
      <c r="DT86" s="35"/>
      <c r="DU86" s="35"/>
      <c r="DV86" s="35"/>
      <c r="DW86" s="35"/>
      <c r="DX86" s="35"/>
      <c r="DY86" s="35">
        <f t="shared" si="107"/>
        <v>26685</v>
      </c>
      <c r="DZ86" s="35">
        <f t="shared" si="108"/>
        <v>87471</v>
      </c>
      <c r="EA86" s="35"/>
      <c r="EB86" s="35"/>
      <c r="EC86" s="35"/>
      <c r="ED86" s="35">
        <v>25180</v>
      </c>
      <c r="EE86" s="35">
        <v>750</v>
      </c>
      <c r="EF86" s="35">
        <v>755</v>
      </c>
      <c r="EG86" s="35"/>
      <c r="EH86" s="35"/>
      <c r="EI86" s="35"/>
      <c r="EJ86" s="35"/>
      <c r="EK86" s="35"/>
      <c r="EL86" s="35"/>
      <c r="EM86" s="35">
        <f t="shared" si="109"/>
        <v>26685</v>
      </c>
      <c r="EN86" s="35"/>
      <c r="EO86" s="35"/>
      <c r="EP86" s="35"/>
      <c r="EQ86" s="35">
        <v>25180</v>
      </c>
      <c r="ER86" s="35">
        <v>750</v>
      </c>
      <c r="ES86" s="35">
        <v>755</v>
      </c>
      <c r="ET86" s="35"/>
      <c r="EU86" s="35"/>
      <c r="EV86" s="35"/>
      <c r="EW86" s="35"/>
      <c r="EX86" s="35"/>
      <c r="EY86" s="35"/>
      <c r="EZ86" s="35">
        <f t="shared" si="102"/>
        <v>26685</v>
      </c>
      <c r="FA86" s="35"/>
      <c r="FB86" s="35"/>
      <c r="FC86" s="35"/>
      <c r="FD86" s="35">
        <v>25180</v>
      </c>
      <c r="FE86" s="35">
        <v>750</v>
      </c>
      <c r="FF86" s="35">
        <v>755</v>
      </c>
      <c r="FG86" s="35"/>
      <c r="FH86" s="35"/>
      <c r="FI86" s="35"/>
      <c r="FJ86" s="35"/>
      <c r="FK86" s="35"/>
      <c r="FL86" s="35"/>
      <c r="FM86" s="35">
        <f t="shared" si="110"/>
        <v>26685</v>
      </c>
      <c r="FN86" s="35">
        <f t="shared" si="111"/>
        <v>80055</v>
      </c>
      <c r="FO86" s="35">
        <f t="shared" si="112"/>
        <v>320220</v>
      </c>
    </row>
    <row r="87" spans="1:171" x14ac:dyDescent="0.35">
      <c r="A87" s="34"/>
      <c r="B87" s="40"/>
      <c r="C87" s="58"/>
      <c r="D87" s="79" t="s">
        <v>182</v>
      </c>
      <c r="E87" s="58" t="s">
        <v>9</v>
      </c>
      <c r="F87" s="58" t="s">
        <v>17</v>
      </c>
      <c r="G87" s="58"/>
      <c r="H87" s="58"/>
      <c r="I87" s="58"/>
      <c r="J87" s="58"/>
      <c r="K87" s="35"/>
      <c r="L87" s="35"/>
      <c r="M87" s="35"/>
      <c r="N87" s="35">
        <v>23980</v>
      </c>
      <c r="O87" s="35">
        <v>750</v>
      </c>
      <c r="P87" s="35">
        <v>719</v>
      </c>
      <c r="Q87" s="35"/>
      <c r="R87" s="35"/>
      <c r="S87" s="35"/>
      <c r="T87" s="35"/>
      <c r="U87" s="35"/>
      <c r="V87" s="35"/>
      <c r="W87" s="35">
        <f t="shared" si="103"/>
        <v>25449</v>
      </c>
      <c r="X87" s="35"/>
      <c r="Y87" s="35"/>
      <c r="Z87" s="35"/>
      <c r="AA87" s="35">
        <v>23980</v>
      </c>
      <c r="AB87" s="35">
        <v>750</v>
      </c>
      <c r="AC87" s="35">
        <v>719</v>
      </c>
      <c r="AD87" s="35"/>
      <c r="AE87" s="35"/>
      <c r="AF87" s="35"/>
      <c r="AG87" s="35"/>
      <c r="AH87" s="35"/>
      <c r="AI87" s="35"/>
      <c r="AJ87" s="35">
        <f t="shared" si="97"/>
        <v>25449</v>
      </c>
      <c r="AK87" s="35"/>
      <c r="AL87" s="35"/>
      <c r="AM87" s="35"/>
      <c r="AN87" s="35">
        <v>23980</v>
      </c>
      <c r="AO87" s="35">
        <v>750</v>
      </c>
      <c r="AP87" s="35">
        <v>719</v>
      </c>
      <c r="AQ87" s="35"/>
      <c r="AR87" s="35"/>
      <c r="AS87" s="35"/>
      <c r="AT87" s="35"/>
      <c r="AU87" s="35"/>
      <c r="AV87" s="35"/>
      <c r="AW87" s="35">
        <f t="shared" si="98"/>
        <v>25449</v>
      </c>
      <c r="AX87" s="35">
        <f t="shared" si="96"/>
        <v>76347</v>
      </c>
      <c r="AY87" s="35"/>
      <c r="AZ87" s="35"/>
      <c r="BA87" s="35"/>
      <c r="BB87" s="35">
        <v>23980</v>
      </c>
      <c r="BC87" s="35">
        <v>750</v>
      </c>
      <c r="BD87" s="35">
        <v>719</v>
      </c>
      <c r="BE87" s="35"/>
      <c r="BF87" s="35"/>
      <c r="BG87" s="35"/>
      <c r="BH87" s="35"/>
      <c r="BI87" s="35"/>
      <c r="BJ87" s="35"/>
      <c r="BK87" s="35">
        <f t="shared" si="104"/>
        <v>25449</v>
      </c>
      <c r="BL87" s="35"/>
      <c r="BM87" s="35"/>
      <c r="BN87" s="35"/>
      <c r="BO87" s="35">
        <v>23980</v>
      </c>
      <c r="BP87" s="35">
        <v>750</v>
      </c>
      <c r="BQ87" s="35">
        <v>719</v>
      </c>
      <c r="BR87" s="35"/>
      <c r="BS87" s="35"/>
      <c r="BT87" s="35"/>
      <c r="BU87" s="35"/>
      <c r="BV87" s="35"/>
      <c r="BW87" s="35"/>
      <c r="BX87" s="35">
        <f t="shared" si="99"/>
        <v>25449</v>
      </c>
      <c r="BY87" s="35"/>
      <c r="BZ87" s="35"/>
      <c r="CA87" s="35"/>
      <c r="CB87" s="35">
        <v>23980</v>
      </c>
      <c r="CC87" s="35">
        <v>750</v>
      </c>
      <c r="CD87" s="35">
        <v>719</v>
      </c>
      <c r="CE87" s="35"/>
      <c r="CF87" s="35"/>
      <c r="CG87" s="35"/>
      <c r="CH87" s="35"/>
      <c r="CI87" s="35"/>
      <c r="CJ87" s="35"/>
      <c r="CK87" s="35">
        <f t="shared" si="100"/>
        <v>25449</v>
      </c>
      <c r="CL87" s="35">
        <f t="shared" si="105"/>
        <v>76347</v>
      </c>
      <c r="CM87" s="35"/>
      <c r="CN87" s="35"/>
      <c r="CO87" s="35"/>
      <c r="CP87" s="35">
        <v>25180</v>
      </c>
      <c r="CQ87" s="35">
        <v>750</v>
      </c>
      <c r="CR87" s="35">
        <v>755</v>
      </c>
      <c r="CS87" s="35"/>
      <c r="CT87" s="35"/>
      <c r="CU87" s="35"/>
      <c r="CV87" s="35"/>
      <c r="CW87" s="35"/>
      <c r="CX87" s="35"/>
      <c r="CY87" s="35">
        <f t="shared" si="106"/>
        <v>26685</v>
      </c>
      <c r="CZ87" s="35"/>
      <c r="DA87" s="35"/>
      <c r="DB87" s="35"/>
      <c r="DC87" s="35">
        <f>7200+25180</f>
        <v>32380</v>
      </c>
      <c r="DD87" s="35">
        <v>750</v>
      </c>
      <c r="DE87" s="35">
        <f>216+755</f>
        <v>971</v>
      </c>
      <c r="DF87" s="35"/>
      <c r="DG87" s="35"/>
      <c r="DH87" s="35"/>
      <c r="DI87" s="35"/>
      <c r="DJ87" s="35"/>
      <c r="DK87" s="35"/>
      <c r="DL87" s="35">
        <f t="shared" si="101"/>
        <v>34101</v>
      </c>
      <c r="DM87" s="35"/>
      <c r="DN87" s="35"/>
      <c r="DO87" s="35"/>
      <c r="DP87" s="35">
        <v>25180</v>
      </c>
      <c r="DQ87" s="35">
        <v>750</v>
      </c>
      <c r="DR87" s="35">
        <v>755</v>
      </c>
      <c r="DS87" s="35"/>
      <c r="DT87" s="35"/>
      <c r="DU87" s="35"/>
      <c r="DV87" s="35"/>
      <c r="DW87" s="35"/>
      <c r="DX87" s="35"/>
      <c r="DY87" s="35">
        <f t="shared" si="107"/>
        <v>26685</v>
      </c>
      <c r="DZ87" s="35">
        <f t="shared" si="108"/>
        <v>87471</v>
      </c>
      <c r="EA87" s="35"/>
      <c r="EB87" s="35"/>
      <c r="EC87" s="35"/>
      <c r="ED87" s="35">
        <v>25180</v>
      </c>
      <c r="EE87" s="35">
        <v>750</v>
      </c>
      <c r="EF87" s="35">
        <v>755</v>
      </c>
      <c r="EG87" s="35"/>
      <c r="EH87" s="35"/>
      <c r="EI87" s="35"/>
      <c r="EJ87" s="35"/>
      <c r="EK87" s="35"/>
      <c r="EL87" s="35"/>
      <c r="EM87" s="35">
        <f t="shared" si="109"/>
        <v>26685</v>
      </c>
      <c r="EN87" s="35"/>
      <c r="EO87" s="35"/>
      <c r="EP87" s="35"/>
      <c r="EQ87" s="35">
        <v>25180</v>
      </c>
      <c r="ER87" s="35">
        <v>750</v>
      </c>
      <c r="ES87" s="35">
        <v>755</v>
      </c>
      <c r="ET87" s="35"/>
      <c r="EU87" s="35"/>
      <c r="EV87" s="35"/>
      <c r="EW87" s="35"/>
      <c r="EX87" s="35"/>
      <c r="EY87" s="35"/>
      <c r="EZ87" s="35">
        <f t="shared" si="102"/>
        <v>26685</v>
      </c>
      <c r="FA87" s="35"/>
      <c r="FB87" s="35"/>
      <c r="FC87" s="35"/>
      <c r="FD87" s="35">
        <v>25180</v>
      </c>
      <c r="FE87" s="35">
        <v>750</v>
      </c>
      <c r="FF87" s="35">
        <v>755</v>
      </c>
      <c r="FG87" s="35"/>
      <c r="FH87" s="35"/>
      <c r="FI87" s="35"/>
      <c r="FJ87" s="35"/>
      <c r="FK87" s="35"/>
      <c r="FL87" s="35"/>
      <c r="FM87" s="35">
        <f t="shared" si="110"/>
        <v>26685</v>
      </c>
      <c r="FN87" s="35">
        <f t="shared" si="111"/>
        <v>80055</v>
      </c>
      <c r="FO87" s="35">
        <f t="shared" si="112"/>
        <v>320220</v>
      </c>
    </row>
    <row r="88" spans="1:171" x14ac:dyDescent="0.35">
      <c r="A88" s="34"/>
      <c r="B88" s="40"/>
      <c r="C88" s="58"/>
      <c r="D88" s="79" t="s">
        <v>183</v>
      </c>
      <c r="E88" s="58" t="s">
        <v>9</v>
      </c>
      <c r="F88" s="58" t="s">
        <v>17</v>
      </c>
      <c r="G88" s="58"/>
      <c r="H88" s="58"/>
      <c r="I88" s="58"/>
      <c r="J88" s="58"/>
      <c r="K88" s="35"/>
      <c r="L88" s="35"/>
      <c r="M88" s="35"/>
      <c r="N88" s="35">
        <v>23980</v>
      </c>
      <c r="O88" s="35">
        <v>750</v>
      </c>
      <c r="P88" s="35">
        <v>719</v>
      </c>
      <c r="Q88" s="35"/>
      <c r="R88" s="35"/>
      <c r="S88" s="35"/>
      <c r="T88" s="35"/>
      <c r="U88" s="35"/>
      <c r="V88" s="35"/>
      <c r="W88" s="35">
        <f t="shared" si="103"/>
        <v>25449</v>
      </c>
      <c r="X88" s="35"/>
      <c r="Y88" s="35"/>
      <c r="Z88" s="35"/>
      <c r="AA88" s="35">
        <v>23980</v>
      </c>
      <c r="AB88" s="35">
        <v>750</v>
      </c>
      <c r="AC88" s="35">
        <v>719</v>
      </c>
      <c r="AD88" s="35"/>
      <c r="AE88" s="35"/>
      <c r="AF88" s="35"/>
      <c r="AG88" s="35"/>
      <c r="AH88" s="35"/>
      <c r="AI88" s="35"/>
      <c r="AJ88" s="35">
        <f t="shared" si="97"/>
        <v>25449</v>
      </c>
      <c r="AK88" s="35"/>
      <c r="AL88" s="35"/>
      <c r="AM88" s="35"/>
      <c r="AN88" s="35">
        <v>23980</v>
      </c>
      <c r="AO88" s="35">
        <v>750</v>
      </c>
      <c r="AP88" s="35">
        <v>719</v>
      </c>
      <c r="AQ88" s="35"/>
      <c r="AR88" s="35"/>
      <c r="AS88" s="35"/>
      <c r="AT88" s="35"/>
      <c r="AU88" s="35"/>
      <c r="AV88" s="35"/>
      <c r="AW88" s="35">
        <f t="shared" si="98"/>
        <v>25449</v>
      </c>
      <c r="AX88" s="35">
        <f t="shared" si="96"/>
        <v>76347</v>
      </c>
      <c r="AY88" s="35"/>
      <c r="AZ88" s="35"/>
      <c r="BA88" s="35"/>
      <c r="BB88" s="35">
        <v>23980</v>
      </c>
      <c r="BC88" s="35">
        <v>750</v>
      </c>
      <c r="BD88" s="35">
        <v>719</v>
      </c>
      <c r="BE88" s="35"/>
      <c r="BF88" s="35"/>
      <c r="BG88" s="35"/>
      <c r="BH88" s="35"/>
      <c r="BI88" s="35"/>
      <c r="BJ88" s="35"/>
      <c r="BK88" s="35">
        <f t="shared" si="104"/>
        <v>25449</v>
      </c>
      <c r="BL88" s="35"/>
      <c r="BM88" s="35"/>
      <c r="BN88" s="35"/>
      <c r="BO88" s="35">
        <v>23980</v>
      </c>
      <c r="BP88" s="35">
        <v>750</v>
      </c>
      <c r="BQ88" s="35">
        <v>719</v>
      </c>
      <c r="BR88" s="35"/>
      <c r="BS88" s="35"/>
      <c r="BT88" s="35"/>
      <c r="BU88" s="35"/>
      <c r="BV88" s="35"/>
      <c r="BW88" s="35"/>
      <c r="BX88" s="35">
        <f t="shared" si="99"/>
        <v>25449</v>
      </c>
      <c r="BY88" s="35"/>
      <c r="BZ88" s="35"/>
      <c r="CA88" s="35"/>
      <c r="CB88" s="35">
        <v>23980</v>
      </c>
      <c r="CC88" s="35">
        <v>750</v>
      </c>
      <c r="CD88" s="35">
        <v>719</v>
      </c>
      <c r="CE88" s="35"/>
      <c r="CF88" s="35"/>
      <c r="CG88" s="35"/>
      <c r="CH88" s="35"/>
      <c r="CI88" s="35"/>
      <c r="CJ88" s="35"/>
      <c r="CK88" s="35">
        <f t="shared" si="100"/>
        <v>25449</v>
      </c>
      <c r="CL88" s="35">
        <f t="shared" si="105"/>
        <v>76347</v>
      </c>
      <c r="CM88" s="35"/>
      <c r="CN88" s="35"/>
      <c r="CO88" s="35"/>
      <c r="CP88" s="35">
        <v>25180</v>
      </c>
      <c r="CQ88" s="35">
        <v>750</v>
      </c>
      <c r="CR88" s="35">
        <v>755</v>
      </c>
      <c r="CS88" s="35"/>
      <c r="CT88" s="35"/>
      <c r="CU88" s="35"/>
      <c r="CV88" s="35"/>
      <c r="CW88" s="35"/>
      <c r="CX88" s="35"/>
      <c r="CY88" s="35">
        <f t="shared" si="106"/>
        <v>26685</v>
      </c>
      <c r="CZ88" s="35"/>
      <c r="DA88" s="35"/>
      <c r="DB88" s="35"/>
      <c r="DC88" s="35">
        <f>7200+25180</f>
        <v>32380</v>
      </c>
      <c r="DD88" s="35">
        <v>750</v>
      </c>
      <c r="DE88" s="35">
        <f>216+755</f>
        <v>971</v>
      </c>
      <c r="DF88" s="35"/>
      <c r="DG88" s="35"/>
      <c r="DH88" s="35"/>
      <c r="DI88" s="35"/>
      <c r="DJ88" s="35"/>
      <c r="DK88" s="35"/>
      <c r="DL88" s="35">
        <f t="shared" si="101"/>
        <v>34101</v>
      </c>
      <c r="DM88" s="35"/>
      <c r="DN88" s="35"/>
      <c r="DO88" s="35"/>
      <c r="DP88" s="35">
        <v>25180</v>
      </c>
      <c r="DQ88" s="35">
        <v>750</v>
      </c>
      <c r="DR88" s="35">
        <v>755</v>
      </c>
      <c r="DS88" s="35"/>
      <c r="DT88" s="35"/>
      <c r="DU88" s="35"/>
      <c r="DV88" s="35"/>
      <c r="DW88" s="35"/>
      <c r="DX88" s="35"/>
      <c r="DY88" s="35">
        <f t="shared" si="107"/>
        <v>26685</v>
      </c>
      <c r="DZ88" s="35">
        <f t="shared" si="108"/>
        <v>87471</v>
      </c>
      <c r="EA88" s="35"/>
      <c r="EB88" s="35"/>
      <c r="EC88" s="35"/>
      <c r="ED88" s="35">
        <v>25180</v>
      </c>
      <c r="EE88" s="35">
        <v>750</v>
      </c>
      <c r="EF88" s="35">
        <v>755</v>
      </c>
      <c r="EG88" s="35"/>
      <c r="EH88" s="35"/>
      <c r="EI88" s="35"/>
      <c r="EJ88" s="35"/>
      <c r="EK88" s="35"/>
      <c r="EL88" s="35"/>
      <c r="EM88" s="35">
        <f t="shared" si="109"/>
        <v>26685</v>
      </c>
      <c r="EN88" s="35"/>
      <c r="EO88" s="35"/>
      <c r="EP88" s="35"/>
      <c r="EQ88" s="35">
        <v>25180</v>
      </c>
      <c r="ER88" s="35">
        <v>750</v>
      </c>
      <c r="ES88" s="35">
        <v>755</v>
      </c>
      <c r="ET88" s="35"/>
      <c r="EU88" s="35"/>
      <c r="EV88" s="35"/>
      <c r="EW88" s="35"/>
      <c r="EX88" s="35"/>
      <c r="EY88" s="35"/>
      <c r="EZ88" s="35">
        <f t="shared" si="102"/>
        <v>26685</v>
      </c>
      <c r="FA88" s="35"/>
      <c r="FB88" s="35"/>
      <c r="FC88" s="35"/>
      <c r="FD88" s="35">
        <v>25180</v>
      </c>
      <c r="FE88" s="35">
        <v>750</v>
      </c>
      <c r="FF88" s="35">
        <v>755</v>
      </c>
      <c r="FG88" s="35"/>
      <c r="FH88" s="35"/>
      <c r="FI88" s="35"/>
      <c r="FJ88" s="35"/>
      <c r="FK88" s="35"/>
      <c r="FL88" s="35"/>
      <c r="FM88" s="35">
        <f t="shared" si="110"/>
        <v>26685</v>
      </c>
      <c r="FN88" s="35">
        <f t="shared" si="111"/>
        <v>80055</v>
      </c>
      <c r="FO88" s="35">
        <f t="shared" si="112"/>
        <v>320220</v>
      </c>
    </row>
    <row r="89" spans="1:171" x14ac:dyDescent="0.35">
      <c r="A89" s="34"/>
      <c r="B89" s="40"/>
      <c r="C89" s="58"/>
      <c r="D89" s="41" t="s">
        <v>184</v>
      </c>
      <c r="E89" s="58" t="s">
        <v>9</v>
      </c>
      <c r="F89" s="58" t="s">
        <v>17</v>
      </c>
      <c r="G89" s="58"/>
      <c r="H89" s="58"/>
      <c r="I89" s="58"/>
      <c r="J89" s="58"/>
      <c r="K89" s="35"/>
      <c r="L89" s="35"/>
      <c r="M89" s="35"/>
      <c r="N89" s="35">
        <v>0</v>
      </c>
      <c r="O89" s="35">
        <v>0</v>
      </c>
      <c r="P89" s="35">
        <v>0</v>
      </c>
      <c r="Q89" s="35"/>
      <c r="R89" s="35"/>
      <c r="S89" s="35"/>
      <c r="T89" s="35"/>
      <c r="U89" s="35"/>
      <c r="V89" s="35"/>
      <c r="W89" s="35">
        <f t="shared" si="103"/>
        <v>0</v>
      </c>
      <c r="X89" s="35"/>
      <c r="Y89" s="35"/>
      <c r="Z89" s="35"/>
      <c r="AA89" s="35">
        <v>0</v>
      </c>
      <c r="AB89" s="35">
        <v>0</v>
      </c>
      <c r="AC89" s="35">
        <v>0</v>
      </c>
      <c r="AD89" s="35"/>
      <c r="AE89" s="35"/>
      <c r="AF89" s="35"/>
      <c r="AG89" s="35"/>
      <c r="AH89" s="35"/>
      <c r="AI89" s="35"/>
      <c r="AJ89" s="35">
        <f t="shared" si="97"/>
        <v>0</v>
      </c>
      <c r="AK89" s="35"/>
      <c r="AL89" s="35"/>
      <c r="AM89" s="35"/>
      <c r="AN89" s="35">
        <v>0</v>
      </c>
      <c r="AO89" s="35">
        <v>0</v>
      </c>
      <c r="AP89" s="35">
        <v>0</v>
      </c>
      <c r="AQ89" s="35"/>
      <c r="AR89" s="35"/>
      <c r="AS89" s="35"/>
      <c r="AT89" s="35"/>
      <c r="AU89" s="35"/>
      <c r="AV89" s="35"/>
      <c r="AW89" s="35">
        <f t="shared" si="98"/>
        <v>0</v>
      </c>
      <c r="AX89" s="35">
        <f t="shared" si="96"/>
        <v>0</v>
      </c>
      <c r="AY89" s="35"/>
      <c r="AZ89" s="35"/>
      <c r="BA89" s="35"/>
      <c r="BB89" s="35">
        <v>0</v>
      </c>
      <c r="BC89" s="35">
        <v>0</v>
      </c>
      <c r="BD89" s="35">
        <v>0</v>
      </c>
      <c r="BE89" s="35"/>
      <c r="BF89" s="35"/>
      <c r="BG89" s="35"/>
      <c r="BH89" s="35"/>
      <c r="BI89" s="35"/>
      <c r="BJ89" s="35"/>
      <c r="BK89" s="35">
        <f t="shared" si="104"/>
        <v>0</v>
      </c>
      <c r="BL89" s="35"/>
      <c r="BM89" s="35"/>
      <c r="BN89" s="35"/>
      <c r="BO89" s="35">
        <v>0</v>
      </c>
      <c r="BP89" s="35">
        <v>0</v>
      </c>
      <c r="BQ89" s="35">
        <v>0</v>
      </c>
      <c r="BR89" s="35"/>
      <c r="BS89" s="35"/>
      <c r="BT89" s="35"/>
      <c r="BU89" s="35"/>
      <c r="BV89" s="35"/>
      <c r="BW89" s="35"/>
      <c r="BX89" s="35">
        <f t="shared" si="99"/>
        <v>0</v>
      </c>
      <c r="BY89" s="35"/>
      <c r="BZ89" s="35"/>
      <c r="CA89" s="35"/>
      <c r="CB89" s="35">
        <v>0</v>
      </c>
      <c r="CC89" s="35">
        <v>0</v>
      </c>
      <c r="CD89" s="35">
        <v>0</v>
      </c>
      <c r="CE89" s="35"/>
      <c r="CF89" s="35"/>
      <c r="CG89" s="35"/>
      <c r="CH89" s="35"/>
      <c r="CI89" s="35"/>
      <c r="CJ89" s="35"/>
      <c r="CK89" s="35">
        <f t="shared" si="100"/>
        <v>0</v>
      </c>
      <c r="CL89" s="35">
        <f t="shared" si="105"/>
        <v>0</v>
      </c>
      <c r="CM89" s="35"/>
      <c r="CN89" s="35"/>
      <c r="CO89" s="35"/>
      <c r="CP89" s="35">
        <v>0</v>
      </c>
      <c r="CQ89" s="35">
        <v>0</v>
      </c>
      <c r="CR89" s="35">
        <v>0</v>
      </c>
      <c r="CS89" s="35"/>
      <c r="CT89" s="35"/>
      <c r="CU89" s="35"/>
      <c r="CV89" s="35"/>
      <c r="CW89" s="35"/>
      <c r="CX89" s="35"/>
      <c r="CY89" s="35">
        <f t="shared" si="106"/>
        <v>0</v>
      </c>
      <c r="CZ89" s="35"/>
      <c r="DA89" s="35"/>
      <c r="DB89" s="35"/>
      <c r="DC89" s="35">
        <v>0</v>
      </c>
      <c r="DD89" s="35">
        <v>0</v>
      </c>
      <c r="DE89" s="35">
        <v>0</v>
      </c>
      <c r="DF89" s="35"/>
      <c r="DG89" s="35"/>
      <c r="DH89" s="35"/>
      <c r="DI89" s="35"/>
      <c r="DJ89" s="35"/>
      <c r="DK89" s="35"/>
      <c r="DL89" s="35">
        <f t="shared" si="101"/>
        <v>0</v>
      </c>
      <c r="DM89" s="35"/>
      <c r="DN89" s="35"/>
      <c r="DO89" s="35"/>
      <c r="DP89" s="35">
        <v>0</v>
      </c>
      <c r="DQ89" s="35">
        <v>0</v>
      </c>
      <c r="DR89" s="35">
        <v>0</v>
      </c>
      <c r="DS89" s="35"/>
      <c r="DT89" s="35"/>
      <c r="DU89" s="35"/>
      <c r="DV89" s="35"/>
      <c r="DW89" s="35"/>
      <c r="DX89" s="35"/>
      <c r="DY89" s="35">
        <f t="shared" si="107"/>
        <v>0</v>
      </c>
      <c r="DZ89" s="35">
        <f t="shared" si="108"/>
        <v>0</v>
      </c>
      <c r="EA89" s="35"/>
      <c r="EB89" s="35"/>
      <c r="EC89" s="35"/>
      <c r="ED89" s="35">
        <v>0</v>
      </c>
      <c r="EE89" s="35">
        <v>0</v>
      </c>
      <c r="EF89" s="35">
        <v>0</v>
      </c>
      <c r="EG89" s="35"/>
      <c r="EH89" s="35"/>
      <c r="EI89" s="35"/>
      <c r="EJ89" s="35"/>
      <c r="EK89" s="35"/>
      <c r="EL89" s="35"/>
      <c r="EM89" s="35">
        <f t="shared" si="109"/>
        <v>0</v>
      </c>
      <c r="EN89" s="35"/>
      <c r="EO89" s="35"/>
      <c r="EP89" s="35"/>
      <c r="EQ89" s="35">
        <v>0</v>
      </c>
      <c r="ER89" s="35">
        <v>0</v>
      </c>
      <c r="ES89" s="35">
        <v>0</v>
      </c>
      <c r="ET89" s="35"/>
      <c r="EU89" s="35"/>
      <c r="EV89" s="35"/>
      <c r="EW89" s="35"/>
      <c r="EX89" s="35"/>
      <c r="EY89" s="35"/>
      <c r="EZ89" s="35">
        <f t="shared" si="102"/>
        <v>0</v>
      </c>
      <c r="FA89" s="35"/>
      <c r="FB89" s="35"/>
      <c r="FC89" s="35"/>
      <c r="FD89" s="35">
        <v>0</v>
      </c>
      <c r="FE89" s="35">
        <v>0</v>
      </c>
      <c r="FF89" s="35">
        <v>0</v>
      </c>
      <c r="FG89" s="35"/>
      <c r="FH89" s="35"/>
      <c r="FI89" s="35"/>
      <c r="FJ89" s="35"/>
      <c r="FK89" s="35"/>
      <c r="FL89" s="35"/>
      <c r="FM89" s="35">
        <f t="shared" si="110"/>
        <v>0</v>
      </c>
      <c r="FN89" s="35">
        <f t="shared" si="111"/>
        <v>0</v>
      </c>
      <c r="FO89" s="35">
        <f t="shared" si="112"/>
        <v>0</v>
      </c>
    </row>
    <row r="90" spans="1:171" x14ac:dyDescent="0.35">
      <c r="A90" s="34"/>
      <c r="B90" s="40"/>
      <c r="C90" s="58"/>
      <c r="D90" s="79" t="s">
        <v>264</v>
      </c>
      <c r="E90" s="58" t="s">
        <v>9</v>
      </c>
      <c r="F90" s="58" t="s">
        <v>17</v>
      </c>
      <c r="G90" s="58"/>
      <c r="H90" s="58"/>
      <c r="I90" s="58"/>
      <c r="J90" s="58"/>
      <c r="K90" s="35"/>
      <c r="L90" s="35"/>
      <c r="M90" s="35"/>
      <c r="N90" s="35">
        <v>22670</v>
      </c>
      <c r="O90" s="35">
        <v>750</v>
      </c>
      <c r="P90" s="35">
        <v>680</v>
      </c>
      <c r="Q90" s="35"/>
      <c r="R90" s="35"/>
      <c r="S90" s="35"/>
      <c r="T90" s="35"/>
      <c r="U90" s="35"/>
      <c r="V90" s="35"/>
      <c r="W90" s="35">
        <f t="shared" ref="W90" si="113">SUM(K90:V90)</f>
        <v>24100</v>
      </c>
      <c r="X90" s="35"/>
      <c r="Y90" s="35"/>
      <c r="Z90" s="35"/>
      <c r="AA90" s="35">
        <v>22670</v>
      </c>
      <c r="AB90" s="35">
        <v>750</v>
      </c>
      <c r="AC90" s="35">
        <v>680</v>
      </c>
      <c r="AD90" s="35"/>
      <c r="AE90" s="35"/>
      <c r="AF90" s="35"/>
      <c r="AG90" s="35"/>
      <c r="AH90" s="35"/>
      <c r="AI90" s="35"/>
      <c r="AJ90" s="35">
        <f t="shared" ref="AJ90" si="114">SUM(X90:AI90)</f>
        <v>24100</v>
      </c>
      <c r="AK90" s="35"/>
      <c r="AL90" s="35"/>
      <c r="AM90" s="35"/>
      <c r="AN90" s="35">
        <v>22670</v>
      </c>
      <c r="AO90" s="35">
        <v>750</v>
      </c>
      <c r="AP90" s="35">
        <v>680</v>
      </c>
      <c r="AQ90" s="35"/>
      <c r="AR90" s="35"/>
      <c r="AS90" s="35"/>
      <c r="AT90" s="35"/>
      <c r="AU90" s="35"/>
      <c r="AV90" s="35"/>
      <c r="AW90" s="35">
        <f t="shared" ref="AW90" si="115">SUM(AK90:AV90)</f>
        <v>24100</v>
      </c>
      <c r="AX90" s="35">
        <f t="shared" ref="AX90" si="116">+W90+AJ90+AW90</f>
        <v>72300</v>
      </c>
      <c r="AY90" s="35"/>
      <c r="AZ90" s="35"/>
      <c r="BA90" s="35"/>
      <c r="BB90" s="35">
        <v>22670</v>
      </c>
      <c r="BC90" s="35">
        <v>750</v>
      </c>
      <c r="BD90" s="35">
        <v>680</v>
      </c>
      <c r="BE90" s="35"/>
      <c r="BF90" s="35"/>
      <c r="BG90" s="35"/>
      <c r="BH90" s="35"/>
      <c r="BI90" s="35"/>
      <c r="BJ90" s="35"/>
      <c r="BK90" s="35">
        <f t="shared" ref="BK90" si="117">SUM(AY90:BJ90)</f>
        <v>24100</v>
      </c>
      <c r="BL90" s="35"/>
      <c r="BM90" s="35"/>
      <c r="BN90" s="35"/>
      <c r="BO90" s="35">
        <v>22670</v>
      </c>
      <c r="BP90" s="35">
        <v>750</v>
      </c>
      <c r="BQ90" s="35">
        <v>680</v>
      </c>
      <c r="BR90" s="35"/>
      <c r="BS90" s="35"/>
      <c r="BT90" s="35"/>
      <c r="BU90" s="35"/>
      <c r="BV90" s="35"/>
      <c r="BW90" s="35"/>
      <c r="BX90" s="35">
        <f t="shared" ref="BX90" si="118">SUM(BL90:BW90)</f>
        <v>24100</v>
      </c>
      <c r="BY90" s="35"/>
      <c r="BZ90" s="35"/>
      <c r="CA90" s="35"/>
      <c r="CB90" s="35">
        <v>22670</v>
      </c>
      <c r="CC90" s="35">
        <v>750</v>
      </c>
      <c r="CD90" s="35">
        <v>680</v>
      </c>
      <c r="CE90" s="35"/>
      <c r="CF90" s="35"/>
      <c r="CG90" s="35"/>
      <c r="CH90" s="35"/>
      <c r="CI90" s="35"/>
      <c r="CJ90" s="35"/>
      <c r="CK90" s="35">
        <f t="shared" ref="CK90" si="119">SUM(BY90:CJ90)</f>
        <v>24100</v>
      </c>
      <c r="CL90" s="35">
        <f t="shared" ref="CL90" si="120">+BK90+BX90+CK90</f>
        <v>72300</v>
      </c>
      <c r="CM90" s="35"/>
      <c r="CN90" s="35"/>
      <c r="CO90" s="35"/>
      <c r="CP90" s="35">
        <v>23800</v>
      </c>
      <c r="CQ90" s="35">
        <v>750</v>
      </c>
      <c r="CR90" s="35">
        <v>714</v>
      </c>
      <c r="CS90" s="35"/>
      <c r="CT90" s="35"/>
      <c r="CU90" s="35"/>
      <c r="CV90" s="35"/>
      <c r="CW90" s="35"/>
      <c r="CX90" s="35"/>
      <c r="CY90" s="35">
        <f t="shared" ref="CY90" si="121">SUM(CM90:CX90)</f>
        <v>25264</v>
      </c>
      <c r="CZ90" s="35"/>
      <c r="DA90" s="35"/>
      <c r="DB90" s="35"/>
      <c r="DC90" s="35">
        <f>6780+23800</f>
        <v>30580</v>
      </c>
      <c r="DD90" s="35">
        <v>750</v>
      </c>
      <c r="DE90" s="35">
        <f>204+714</f>
        <v>918</v>
      </c>
      <c r="DF90" s="35"/>
      <c r="DG90" s="35"/>
      <c r="DH90" s="35"/>
      <c r="DI90" s="35"/>
      <c r="DJ90" s="35"/>
      <c r="DK90" s="35"/>
      <c r="DL90" s="35">
        <f t="shared" ref="DL90" si="122">SUM(CZ90:DK90)</f>
        <v>32248</v>
      </c>
      <c r="DM90" s="35"/>
      <c r="DN90" s="35"/>
      <c r="DO90" s="35"/>
      <c r="DP90" s="35">
        <v>23800</v>
      </c>
      <c r="DQ90" s="35">
        <v>750</v>
      </c>
      <c r="DR90" s="35">
        <v>714</v>
      </c>
      <c r="DS90" s="35"/>
      <c r="DT90" s="35"/>
      <c r="DU90" s="35"/>
      <c r="DV90" s="35"/>
      <c r="DW90" s="35"/>
      <c r="DX90" s="35"/>
      <c r="DY90" s="35">
        <f t="shared" ref="DY90" si="123">SUM(DM90:DX90)</f>
        <v>25264</v>
      </c>
      <c r="DZ90" s="35">
        <f t="shared" ref="DZ90" si="124">+CY90+DL90+DY90</f>
        <v>82776</v>
      </c>
      <c r="EA90" s="35"/>
      <c r="EB90" s="35"/>
      <c r="EC90" s="35"/>
      <c r="ED90" s="35">
        <v>23800</v>
      </c>
      <c r="EE90" s="35">
        <v>750</v>
      </c>
      <c r="EF90" s="35">
        <v>714</v>
      </c>
      <c r="EG90" s="35"/>
      <c r="EH90" s="35"/>
      <c r="EI90" s="35"/>
      <c r="EJ90" s="35"/>
      <c r="EK90" s="35"/>
      <c r="EL90" s="35"/>
      <c r="EM90" s="35">
        <f t="shared" ref="EM90" si="125">SUM(EA90:EL90)</f>
        <v>25264</v>
      </c>
      <c r="EN90" s="35"/>
      <c r="EO90" s="35"/>
      <c r="EP90" s="35"/>
      <c r="EQ90" s="35">
        <v>23800</v>
      </c>
      <c r="ER90" s="35">
        <v>750</v>
      </c>
      <c r="ES90" s="35">
        <v>714</v>
      </c>
      <c r="ET90" s="35"/>
      <c r="EU90" s="35"/>
      <c r="EV90" s="35"/>
      <c r="EW90" s="35"/>
      <c r="EX90" s="35"/>
      <c r="EY90" s="35"/>
      <c r="EZ90" s="35">
        <f t="shared" ref="EZ90" si="126">SUM(EN90:EY90)</f>
        <v>25264</v>
      </c>
      <c r="FA90" s="35"/>
      <c r="FB90" s="35"/>
      <c r="FC90" s="35"/>
      <c r="FD90" s="35">
        <v>23800</v>
      </c>
      <c r="FE90" s="35">
        <v>750</v>
      </c>
      <c r="FF90" s="35">
        <v>714</v>
      </c>
      <c r="FG90" s="35"/>
      <c r="FH90" s="35"/>
      <c r="FI90" s="35"/>
      <c r="FJ90" s="35"/>
      <c r="FK90" s="35"/>
      <c r="FL90" s="35"/>
      <c r="FM90" s="35">
        <f t="shared" ref="FM90" si="127">SUM(FA90:FL90)</f>
        <v>25264</v>
      </c>
      <c r="FN90" s="35">
        <f t="shared" ref="FN90" si="128">+EM90+EZ90+FM90</f>
        <v>75792</v>
      </c>
      <c r="FO90" s="35">
        <f t="shared" ref="FO90" si="129">+AX90+CL90+DZ90+FN90</f>
        <v>303168</v>
      </c>
    </row>
    <row r="91" spans="1:171" x14ac:dyDescent="0.35">
      <c r="A91" s="34"/>
      <c r="B91" s="40"/>
      <c r="C91" s="58"/>
      <c r="D91" s="79" t="s">
        <v>185</v>
      </c>
      <c r="E91" s="58" t="s">
        <v>9</v>
      </c>
      <c r="F91" s="58" t="s">
        <v>17</v>
      </c>
      <c r="G91" s="58"/>
      <c r="H91" s="58"/>
      <c r="I91" s="58"/>
      <c r="J91" s="58"/>
      <c r="K91" s="35"/>
      <c r="L91" s="35"/>
      <c r="M91" s="35"/>
      <c r="N91" s="35">
        <v>22670</v>
      </c>
      <c r="O91" s="35">
        <v>750</v>
      </c>
      <c r="P91" s="35">
        <v>680</v>
      </c>
      <c r="Q91" s="35"/>
      <c r="R91" s="35"/>
      <c r="S91" s="35"/>
      <c r="T91" s="35"/>
      <c r="U91" s="35"/>
      <c r="V91" s="35"/>
      <c r="W91" s="35">
        <f t="shared" si="103"/>
        <v>24100</v>
      </c>
      <c r="X91" s="35"/>
      <c r="Y91" s="35"/>
      <c r="Z91" s="35"/>
      <c r="AA91" s="35">
        <v>22670</v>
      </c>
      <c r="AB91" s="35">
        <v>750</v>
      </c>
      <c r="AC91" s="35">
        <v>680</v>
      </c>
      <c r="AD91" s="35"/>
      <c r="AE91" s="35"/>
      <c r="AF91" s="35"/>
      <c r="AG91" s="35"/>
      <c r="AH91" s="35"/>
      <c r="AI91" s="35"/>
      <c r="AJ91" s="35">
        <f t="shared" si="97"/>
        <v>24100</v>
      </c>
      <c r="AK91" s="35"/>
      <c r="AL91" s="35"/>
      <c r="AM91" s="35"/>
      <c r="AN91" s="35">
        <v>22670</v>
      </c>
      <c r="AO91" s="35">
        <v>750</v>
      </c>
      <c r="AP91" s="35">
        <v>680</v>
      </c>
      <c r="AQ91" s="35"/>
      <c r="AR91" s="35"/>
      <c r="AS91" s="35"/>
      <c r="AT91" s="35"/>
      <c r="AU91" s="35"/>
      <c r="AV91" s="35"/>
      <c r="AW91" s="35">
        <f t="shared" si="98"/>
        <v>24100</v>
      </c>
      <c r="AX91" s="35">
        <f t="shared" si="96"/>
        <v>72300</v>
      </c>
      <c r="AY91" s="35"/>
      <c r="AZ91" s="35"/>
      <c r="BA91" s="35"/>
      <c r="BB91" s="35">
        <v>22670</v>
      </c>
      <c r="BC91" s="35">
        <v>750</v>
      </c>
      <c r="BD91" s="35">
        <v>680</v>
      </c>
      <c r="BE91" s="35"/>
      <c r="BF91" s="35"/>
      <c r="BG91" s="35"/>
      <c r="BH91" s="35"/>
      <c r="BI91" s="35"/>
      <c r="BJ91" s="35"/>
      <c r="BK91" s="35">
        <f t="shared" si="104"/>
        <v>24100</v>
      </c>
      <c r="BL91" s="35"/>
      <c r="BM91" s="35"/>
      <c r="BN91" s="35"/>
      <c r="BO91" s="35">
        <v>22670</v>
      </c>
      <c r="BP91" s="35">
        <v>750</v>
      </c>
      <c r="BQ91" s="35">
        <v>680</v>
      </c>
      <c r="BR91" s="35"/>
      <c r="BS91" s="35"/>
      <c r="BT91" s="35"/>
      <c r="BU91" s="35"/>
      <c r="BV91" s="35"/>
      <c r="BW91" s="35"/>
      <c r="BX91" s="35">
        <f t="shared" si="99"/>
        <v>24100</v>
      </c>
      <c r="BY91" s="35"/>
      <c r="BZ91" s="35"/>
      <c r="CA91" s="35"/>
      <c r="CB91" s="35">
        <v>22670</v>
      </c>
      <c r="CC91" s="35">
        <v>750</v>
      </c>
      <c r="CD91" s="35">
        <v>680</v>
      </c>
      <c r="CE91" s="35"/>
      <c r="CF91" s="35"/>
      <c r="CG91" s="35"/>
      <c r="CH91" s="35"/>
      <c r="CI91" s="35"/>
      <c r="CJ91" s="35"/>
      <c r="CK91" s="35">
        <f t="shared" si="100"/>
        <v>24100</v>
      </c>
      <c r="CL91" s="35">
        <f t="shared" si="105"/>
        <v>72300</v>
      </c>
      <c r="CM91" s="35"/>
      <c r="CN91" s="35"/>
      <c r="CO91" s="35"/>
      <c r="CP91" s="35">
        <v>23800</v>
      </c>
      <c r="CQ91" s="35">
        <v>750</v>
      </c>
      <c r="CR91" s="35">
        <v>714</v>
      </c>
      <c r="CS91" s="35"/>
      <c r="CT91" s="35"/>
      <c r="CU91" s="35"/>
      <c r="CV91" s="35"/>
      <c r="CW91" s="35"/>
      <c r="CX91" s="35"/>
      <c r="CY91" s="35">
        <f t="shared" si="106"/>
        <v>25264</v>
      </c>
      <c r="CZ91" s="35"/>
      <c r="DA91" s="35"/>
      <c r="DB91" s="35"/>
      <c r="DC91" s="35">
        <f>6780+23800</f>
        <v>30580</v>
      </c>
      <c r="DD91" s="35">
        <v>750</v>
      </c>
      <c r="DE91" s="35">
        <f>204+714</f>
        <v>918</v>
      </c>
      <c r="DF91" s="35"/>
      <c r="DG91" s="35"/>
      <c r="DH91" s="35"/>
      <c r="DI91" s="35"/>
      <c r="DJ91" s="35"/>
      <c r="DK91" s="35"/>
      <c r="DL91" s="35">
        <f t="shared" si="101"/>
        <v>32248</v>
      </c>
      <c r="DM91" s="35"/>
      <c r="DN91" s="35"/>
      <c r="DO91" s="35"/>
      <c r="DP91" s="35">
        <v>23800</v>
      </c>
      <c r="DQ91" s="35">
        <v>750</v>
      </c>
      <c r="DR91" s="35">
        <v>714</v>
      </c>
      <c r="DS91" s="35"/>
      <c r="DT91" s="35"/>
      <c r="DU91" s="35"/>
      <c r="DV91" s="35"/>
      <c r="DW91" s="35"/>
      <c r="DX91" s="35"/>
      <c r="DY91" s="35">
        <f t="shared" si="107"/>
        <v>25264</v>
      </c>
      <c r="DZ91" s="35">
        <f t="shared" si="108"/>
        <v>82776</v>
      </c>
      <c r="EA91" s="35"/>
      <c r="EB91" s="35"/>
      <c r="EC91" s="35"/>
      <c r="ED91" s="35">
        <v>23800</v>
      </c>
      <c r="EE91" s="35">
        <v>750</v>
      </c>
      <c r="EF91" s="35">
        <v>714</v>
      </c>
      <c r="EG91" s="35"/>
      <c r="EH91" s="35"/>
      <c r="EI91" s="35"/>
      <c r="EJ91" s="35"/>
      <c r="EK91" s="35"/>
      <c r="EL91" s="35"/>
      <c r="EM91" s="35">
        <f t="shared" si="109"/>
        <v>25264</v>
      </c>
      <c r="EN91" s="35"/>
      <c r="EO91" s="35"/>
      <c r="EP91" s="35"/>
      <c r="EQ91" s="35">
        <v>23800</v>
      </c>
      <c r="ER91" s="35">
        <v>750</v>
      </c>
      <c r="ES91" s="35">
        <v>714</v>
      </c>
      <c r="ET91" s="35"/>
      <c r="EU91" s="35"/>
      <c r="EV91" s="35"/>
      <c r="EW91" s="35"/>
      <c r="EX91" s="35"/>
      <c r="EY91" s="35"/>
      <c r="EZ91" s="35">
        <f t="shared" si="102"/>
        <v>25264</v>
      </c>
      <c r="FA91" s="35"/>
      <c r="FB91" s="35"/>
      <c r="FC91" s="35"/>
      <c r="FD91" s="35">
        <v>23800</v>
      </c>
      <c r="FE91" s="35">
        <v>750</v>
      </c>
      <c r="FF91" s="35">
        <v>714</v>
      </c>
      <c r="FG91" s="35"/>
      <c r="FH91" s="35"/>
      <c r="FI91" s="35"/>
      <c r="FJ91" s="35"/>
      <c r="FK91" s="35"/>
      <c r="FL91" s="35"/>
      <c r="FM91" s="35">
        <f t="shared" si="110"/>
        <v>25264</v>
      </c>
      <c r="FN91" s="35">
        <f t="shared" si="111"/>
        <v>75792</v>
      </c>
      <c r="FO91" s="35">
        <f t="shared" si="112"/>
        <v>303168</v>
      </c>
    </row>
    <row r="92" spans="1:171" x14ac:dyDescent="0.35">
      <c r="A92" s="34"/>
      <c r="B92" s="40"/>
      <c r="C92" s="58"/>
      <c r="D92" s="79" t="s">
        <v>186</v>
      </c>
      <c r="E92" s="58" t="s">
        <v>9</v>
      </c>
      <c r="F92" s="58" t="s">
        <v>17</v>
      </c>
      <c r="G92" s="58"/>
      <c r="H92" s="58"/>
      <c r="I92" s="58"/>
      <c r="J92" s="58"/>
      <c r="K92" s="35"/>
      <c r="L92" s="35"/>
      <c r="M92" s="35"/>
      <c r="N92" s="35">
        <v>20480</v>
      </c>
      <c r="O92" s="35">
        <v>750</v>
      </c>
      <c r="P92" s="35">
        <v>614</v>
      </c>
      <c r="Q92" s="35"/>
      <c r="R92" s="35"/>
      <c r="S92" s="35"/>
      <c r="T92" s="35"/>
      <c r="U92" s="35"/>
      <c r="V92" s="35"/>
      <c r="W92" s="35">
        <f t="shared" si="103"/>
        <v>21844</v>
      </c>
      <c r="X92" s="35"/>
      <c r="Y92" s="35"/>
      <c r="Z92" s="35"/>
      <c r="AA92" s="35">
        <v>20480</v>
      </c>
      <c r="AB92" s="35">
        <v>750</v>
      </c>
      <c r="AC92" s="35">
        <v>614</v>
      </c>
      <c r="AD92" s="35"/>
      <c r="AE92" s="35"/>
      <c r="AF92" s="35"/>
      <c r="AG92" s="35"/>
      <c r="AH92" s="35"/>
      <c r="AI92" s="35"/>
      <c r="AJ92" s="35">
        <f t="shared" si="97"/>
        <v>21844</v>
      </c>
      <c r="AK92" s="35"/>
      <c r="AL92" s="35"/>
      <c r="AM92" s="35"/>
      <c r="AN92" s="35">
        <v>20480</v>
      </c>
      <c r="AO92" s="35">
        <v>750</v>
      </c>
      <c r="AP92" s="35">
        <v>614</v>
      </c>
      <c r="AQ92" s="35"/>
      <c r="AR92" s="35"/>
      <c r="AS92" s="35"/>
      <c r="AT92" s="35"/>
      <c r="AU92" s="35"/>
      <c r="AV92" s="35"/>
      <c r="AW92" s="35">
        <f t="shared" si="98"/>
        <v>21844</v>
      </c>
      <c r="AX92" s="35">
        <f t="shared" si="96"/>
        <v>65532</v>
      </c>
      <c r="AY92" s="35"/>
      <c r="AZ92" s="35"/>
      <c r="BA92" s="35"/>
      <c r="BB92" s="35">
        <v>20480</v>
      </c>
      <c r="BC92" s="35">
        <v>750</v>
      </c>
      <c r="BD92" s="35">
        <v>614</v>
      </c>
      <c r="BE92" s="35"/>
      <c r="BF92" s="35"/>
      <c r="BG92" s="35"/>
      <c r="BH92" s="35"/>
      <c r="BI92" s="35"/>
      <c r="BJ92" s="35"/>
      <c r="BK92" s="35">
        <f t="shared" si="104"/>
        <v>21844</v>
      </c>
      <c r="BL92" s="35"/>
      <c r="BM92" s="35"/>
      <c r="BN92" s="35"/>
      <c r="BO92" s="35">
        <v>20480</v>
      </c>
      <c r="BP92" s="35">
        <v>750</v>
      </c>
      <c r="BQ92" s="35">
        <v>614</v>
      </c>
      <c r="BR92" s="35"/>
      <c r="BS92" s="35"/>
      <c r="BT92" s="35"/>
      <c r="BU92" s="35"/>
      <c r="BV92" s="35"/>
      <c r="BW92" s="35"/>
      <c r="BX92" s="35">
        <f t="shared" si="99"/>
        <v>21844</v>
      </c>
      <c r="BY92" s="35"/>
      <c r="BZ92" s="35"/>
      <c r="CA92" s="35"/>
      <c r="CB92" s="35">
        <v>20480</v>
      </c>
      <c r="CC92" s="35">
        <v>750</v>
      </c>
      <c r="CD92" s="35">
        <v>614</v>
      </c>
      <c r="CE92" s="35"/>
      <c r="CF92" s="35"/>
      <c r="CG92" s="35"/>
      <c r="CH92" s="35"/>
      <c r="CI92" s="35"/>
      <c r="CJ92" s="35"/>
      <c r="CK92" s="35">
        <f t="shared" si="100"/>
        <v>21844</v>
      </c>
      <c r="CL92" s="35">
        <f t="shared" si="105"/>
        <v>65532</v>
      </c>
      <c r="CM92" s="35"/>
      <c r="CN92" s="35"/>
      <c r="CO92" s="35"/>
      <c r="CP92" s="35">
        <v>21500</v>
      </c>
      <c r="CQ92" s="35">
        <v>750</v>
      </c>
      <c r="CR92" s="35">
        <v>645</v>
      </c>
      <c r="CS92" s="35"/>
      <c r="CT92" s="35"/>
      <c r="CU92" s="35"/>
      <c r="CV92" s="35"/>
      <c r="CW92" s="35"/>
      <c r="CX92" s="35"/>
      <c r="CY92" s="35">
        <f t="shared" si="106"/>
        <v>22895</v>
      </c>
      <c r="CZ92" s="35"/>
      <c r="DA92" s="35"/>
      <c r="DB92" s="35"/>
      <c r="DC92" s="35">
        <f>6120+21500</f>
        <v>27620</v>
      </c>
      <c r="DD92" s="35">
        <v>750</v>
      </c>
      <c r="DE92" s="35">
        <f>186+645</f>
        <v>831</v>
      </c>
      <c r="DF92" s="35"/>
      <c r="DG92" s="35"/>
      <c r="DH92" s="35"/>
      <c r="DI92" s="35"/>
      <c r="DJ92" s="35"/>
      <c r="DK92" s="35"/>
      <c r="DL92" s="35">
        <f t="shared" si="101"/>
        <v>29201</v>
      </c>
      <c r="DM92" s="35"/>
      <c r="DN92" s="35"/>
      <c r="DO92" s="35"/>
      <c r="DP92" s="35">
        <v>21500</v>
      </c>
      <c r="DQ92" s="35">
        <v>750</v>
      </c>
      <c r="DR92" s="35">
        <v>645</v>
      </c>
      <c r="DS92" s="35"/>
      <c r="DT92" s="35"/>
      <c r="DU92" s="35"/>
      <c r="DV92" s="35"/>
      <c r="DW92" s="35"/>
      <c r="DX92" s="35"/>
      <c r="DY92" s="35">
        <f t="shared" si="107"/>
        <v>22895</v>
      </c>
      <c r="DZ92" s="35">
        <f t="shared" si="108"/>
        <v>74991</v>
      </c>
      <c r="EA92" s="35"/>
      <c r="EB92" s="35"/>
      <c r="EC92" s="35"/>
      <c r="ED92" s="35">
        <v>21500</v>
      </c>
      <c r="EE92" s="35">
        <v>750</v>
      </c>
      <c r="EF92" s="35">
        <v>645</v>
      </c>
      <c r="EG92" s="35"/>
      <c r="EH92" s="35"/>
      <c r="EI92" s="35"/>
      <c r="EJ92" s="35"/>
      <c r="EK92" s="35"/>
      <c r="EL92" s="35"/>
      <c r="EM92" s="35">
        <f t="shared" si="109"/>
        <v>22895</v>
      </c>
      <c r="EN92" s="35"/>
      <c r="EO92" s="35"/>
      <c r="EP92" s="35"/>
      <c r="EQ92" s="35">
        <v>21500</v>
      </c>
      <c r="ER92" s="35">
        <v>750</v>
      </c>
      <c r="ES92" s="35">
        <v>645</v>
      </c>
      <c r="ET92" s="35"/>
      <c r="EU92" s="35"/>
      <c r="EV92" s="35"/>
      <c r="EW92" s="35"/>
      <c r="EX92" s="35"/>
      <c r="EY92" s="35"/>
      <c r="EZ92" s="35">
        <f t="shared" si="102"/>
        <v>22895</v>
      </c>
      <c r="FA92" s="35"/>
      <c r="FB92" s="35"/>
      <c r="FC92" s="35"/>
      <c r="FD92" s="35">
        <v>21500</v>
      </c>
      <c r="FE92" s="35">
        <v>750</v>
      </c>
      <c r="FF92" s="35">
        <v>645</v>
      </c>
      <c r="FG92" s="35"/>
      <c r="FH92" s="35"/>
      <c r="FI92" s="35"/>
      <c r="FJ92" s="35"/>
      <c r="FK92" s="35"/>
      <c r="FL92" s="35"/>
      <c r="FM92" s="35">
        <f t="shared" si="110"/>
        <v>22895</v>
      </c>
      <c r="FN92" s="35">
        <f t="shared" si="111"/>
        <v>68685</v>
      </c>
      <c r="FO92" s="35">
        <f t="shared" si="112"/>
        <v>274740</v>
      </c>
    </row>
    <row r="93" spans="1:171" x14ac:dyDescent="0.35">
      <c r="A93" s="34"/>
      <c r="B93" s="40"/>
      <c r="C93" s="58"/>
      <c r="D93" s="79" t="s">
        <v>240</v>
      </c>
      <c r="E93" s="58" t="s">
        <v>9</v>
      </c>
      <c r="F93" s="58" t="s">
        <v>17</v>
      </c>
      <c r="G93" s="58"/>
      <c r="H93" s="58"/>
      <c r="I93" s="58"/>
      <c r="J93" s="58"/>
      <c r="K93" s="35"/>
      <c r="L93" s="35"/>
      <c r="M93" s="35"/>
      <c r="N93" s="35">
        <v>19730</v>
      </c>
      <c r="O93" s="35">
        <v>750</v>
      </c>
      <c r="P93" s="35">
        <v>592</v>
      </c>
      <c r="Q93" s="35"/>
      <c r="R93" s="35"/>
      <c r="S93" s="35"/>
      <c r="T93" s="35"/>
      <c r="U93" s="35"/>
      <c r="V93" s="35"/>
      <c r="W93" s="35">
        <f t="shared" ref="W93" si="130">SUM(K93:V93)</f>
        <v>21072</v>
      </c>
      <c r="X93" s="35"/>
      <c r="Y93" s="35"/>
      <c r="Z93" s="35"/>
      <c r="AA93" s="35">
        <v>19730</v>
      </c>
      <c r="AB93" s="35">
        <v>750</v>
      </c>
      <c r="AC93" s="35">
        <v>592</v>
      </c>
      <c r="AD93" s="35"/>
      <c r="AE93" s="35"/>
      <c r="AF93" s="35"/>
      <c r="AG93" s="35"/>
      <c r="AH93" s="35"/>
      <c r="AI93" s="35"/>
      <c r="AJ93" s="35">
        <f t="shared" ref="AJ93" si="131">SUM(X93:AI93)</f>
        <v>21072</v>
      </c>
      <c r="AK93" s="35"/>
      <c r="AL93" s="35"/>
      <c r="AM93" s="35"/>
      <c r="AN93" s="35">
        <v>19730</v>
      </c>
      <c r="AO93" s="35">
        <v>750</v>
      </c>
      <c r="AP93" s="35">
        <v>592</v>
      </c>
      <c r="AQ93" s="35"/>
      <c r="AR93" s="35"/>
      <c r="AS93" s="35"/>
      <c r="AT93" s="35"/>
      <c r="AU93" s="35"/>
      <c r="AV93" s="35"/>
      <c r="AW93" s="35">
        <f t="shared" ref="AW93" si="132">SUM(AK93:AV93)</f>
        <v>21072</v>
      </c>
      <c r="AX93" s="35">
        <f t="shared" si="96"/>
        <v>63216</v>
      </c>
      <c r="AY93" s="35"/>
      <c r="AZ93" s="35"/>
      <c r="BA93" s="35"/>
      <c r="BB93" s="35">
        <v>19730</v>
      </c>
      <c r="BC93" s="35">
        <v>750</v>
      </c>
      <c r="BD93" s="35">
        <v>592</v>
      </c>
      <c r="BE93" s="35"/>
      <c r="BF93" s="35"/>
      <c r="BG93" s="35"/>
      <c r="BH93" s="35"/>
      <c r="BI93" s="35"/>
      <c r="BJ93" s="35"/>
      <c r="BK93" s="35">
        <f t="shared" ref="BK93" si="133">SUM(AY93:BJ93)</f>
        <v>21072</v>
      </c>
      <c r="BL93" s="35"/>
      <c r="BM93" s="35"/>
      <c r="BN93" s="35"/>
      <c r="BO93" s="35">
        <v>19730</v>
      </c>
      <c r="BP93" s="35">
        <v>750</v>
      </c>
      <c r="BQ93" s="35">
        <v>592</v>
      </c>
      <c r="BR93" s="35"/>
      <c r="BS93" s="35"/>
      <c r="BT93" s="35"/>
      <c r="BU93" s="35"/>
      <c r="BV93" s="35"/>
      <c r="BW93" s="35"/>
      <c r="BX93" s="35">
        <f t="shared" ref="BX93" si="134">SUM(BL93:BW93)</f>
        <v>21072</v>
      </c>
      <c r="BY93" s="35"/>
      <c r="BZ93" s="35"/>
      <c r="CA93" s="35"/>
      <c r="CB93" s="35">
        <v>19730</v>
      </c>
      <c r="CC93" s="35">
        <v>750</v>
      </c>
      <c r="CD93" s="35">
        <v>592</v>
      </c>
      <c r="CE93" s="35"/>
      <c r="CF93" s="35"/>
      <c r="CG93" s="35"/>
      <c r="CH93" s="35"/>
      <c r="CI93" s="35"/>
      <c r="CJ93" s="35"/>
      <c r="CK93" s="35">
        <f t="shared" si="100"/>
        <v>21072</v>
      </c>
      <c r="CL93" s="35">
        <f t="shared" si="105"/>
        <v>63216</v>
      </c>
      <c r="CM93" s="35"/>
      <c r="CN93" s="35"/>
      <c r="CO93" s="35"/>
      <c r="CP93" s="35">
        <v>20720</v>
      </c>
      <c r="CQ93" s="35">
        <v>750</v>
      </c>
      <c r="CR93" s="35">
        <v>622</v>
      </c>
      <c r="CS93" s="35"/>
      <c r="CT93" s="35"/>
      <c r="CU93" s="35"/>
      <c r="CV93" s="35"/>
      <c r="CW93" s="35"/>
      <c r="CX93" s="35"/>
      <c r="CY93" s="35">
        <f t="shared" si="106"/>
        <v>22092</v>
      </c>
      <c r="CZ93" s="35"/>
      <c r="DA93" s="35"/>
      <c r="DB93" s="35"/>
      <c r="DC93" s="35">
        <f>5940+20720</f>
        <v>26660</v>
      </c>
      <c r="DD93" s="35">
        <f>7.02+750</f>
        <v>757.02</v>
      </c>
      <c r="DE93" s="35">
        <f>180+622</f>
        <v>802</v>
      </c>
      <c r="DF93" s="35"/>
      <c r="DG93" s="35"/>
      <c r="DH93" s="35"/>
      <c r="DI93" s="35"/>
      <c r="DJ93" s="35"/>
      <c r="DK93" s="35"/>
      <c r="DL93" s="35">
        <f t="shared" si="101"/>
        <v>28219.02</v>
      </c>
      <c r="DM93" s="35"/>
      <c r="DN93" s="35"/>
      <c r="DO93" s="35"/>
      <c r="DP93" s="35">
        <v>20720</v>
      </c>
      <c r="DQ93" s="35">
        <v>750</v>
      </c>
      <c r="DR93" s="35">
        <v>622</v>
      </c>
      <c r="DS93" s="35"/>
      <c r="DT93" s="35"/>
      <c r="DU93" s="35"/>
      <c r="DV93" s="35"/>
      <c r="DW93" s="35"/>
      <c r="DX93" s="35"/>
      <c r="DY93" s="35">
        <f t="shared" si="107"/>
        <v>22092</v>
      </c>
      <c r="DZ93" s="35">
        <f t="shared" si="108"/>
        <v>72403.02</v>
      </c>
      <c r="EA93" s="35"/>
      <c r="EB93" s="35"/>
      <c r="EC93" s="35"/>
      <c r="ED93" s="35">
        <v>20720</v>
      </c>
      <c r="EE93" s="35">
        <v>750</v>
      </c>
      <c r="EF93" s="35">
        <v>622</v>
      </c>
      <c r="EG93" s="35"/>
      <c r="EH93" s="35"/>
      <c r="EI93" s="35"/>
      <c r="EJ93" s="35"/>
      <c r="EK93" s="35"/>
      <c r="EL93" s="35"/>
      <c r="EM93" s="35">
        <f t="shared" si="109"/>
        <v>22092</v>
      </c>
      <c r="EN93" s="35"/>
      <c r="EO93" s="35"/>
      <c r="EP93" s="35"/>
      <c r="EQ93" s="35">
        <v>20720</v>
      </c>
      <c r="ER93" s="35">
        <v>750</v>
      </c>
      <c r="ES93" s="35">
        <v>622</v>
      </c>
      <c r="ET93" s="35"/>
      <c r="EU93" s="35"/>
      <c r="EV93" s="35"/>
      <c r="EW93" s="35"/>
      <c r="EX93" s="35"/>
      <c r="EY93" s="35"/>
      <c r="EZ93" s="35">
        <f t="shared" si="102"/>
        <v>22092</v>
      </c>
      <c r="FA93" s="35"/>
      <c r="FB93" s="35"/>
      <c r="FC93" s="35"/>
      <c r="FD93" s="35">
        <v>20720</v>
      </c>
      <c r="FE93" s="35">
        <v>750</v>
      </c>
      <c r="FF93" s="35">
        <v>622</v>
      </c>
      <c r="FG93" s="35"/>
      <c r="FH93" s="35"/>
      <c r="FI93" s="35"/>
      <c r="FJ93" s="35"/>
      <c r="FK93" s="35"/>
      <c r="FL93" s="35"/>
      <c r="FM93" s="35">
        <f t="shared" si="110"/>
        <v>22092</v>
      </c>
      <c r="FN93" s="35">
        <f t="shared" si="111"/>
        <v>66276</v>
      </c>
      <c r="FO93" s="35">
        <f t="shared" si="112"/>
        <v>265111.02</v>
      </c>
    </row>
    <row r="94" spans="1:171" x14ac:dyDescent="0.35">
      <c r="A94" s="34"/>
      <c r="B94" s="40"/>
      <c r="C94" s="58"/>
      <c r="D94" s="41"/>
      <c r="E94" s="58"/>
      <c r="F94" s="58"/>
      <c r="G94" s="58"/>
      <c r="H94" s="58"/>
      <c r="I94" s="58"/>
      <c r="J94" s="58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>
        <f t="shared" si="103"/>
        <v>0</v>
      </c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>
        <f t="shared" si="97"/>
        <v>0</v>
      </c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>
        <f t="shared" si="98"/>
        <v>0</v>
      </c>
      <c r="AX94" s="35">
        <f t="shared" si="96"/>
        <v>0</v>
      </c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>
        <f t="shared" si="104"/>
        <v>0</v>
      </c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>
        <f t="shared" si="99"/>
        <v>0</v>
      </c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>
        <f t="shared" si="100"/>
        <v>0</v>
      </c>
      <c r="CL94" s="35">
        <f t="shared" si="105"/>
        <v>0</v>
      </c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>
        <f t="shared" si="106"/>
        <v>0</v>
      </c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>
        <f t="shared" si="101"/>
        <v>0</v>
      </c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>
        <f t="shared" si="107"/>
        <v>0</v>
      </c>
      <c r="DZ94" s="35">
        <f t="shared" si="108"/>
        <v>0</v>
      </c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>
        <f t="shared" si="109"/>
        <v>0</v>
      </c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>
        <f t="shared" si="102"/>
        <v>0</v>
      </c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>
        <f t="shared" si="110"/>
        <v>0</v>
      </c>
      <c r="FN94" s="35">
        <f t="shared" si="111"/>
        <v>0</v>
      </c>
      <c r="FO94" s="35">
        <f t="shared" si="112"/>
        <v>0</v>
      </c>
    </row>
    <row r="95" spans="1:171" x14ac:dyDescent="0.35">
      <c r="A95" s="48"/>
      <c r="B95" s="49" t="s">
        <v>118</v>
      </c>
      <c r="C95" s="59"/>
      <c r="D95" s="50"/>
      <c r="E95" s="59"/>
      <c r="F95" s="59"/>
      <c r="G95" s="59"/>
      <c r="H95" s="59"/>
      <c r="I95" s="59"/>
      <c r="J95" s="59"/>
      <c r="K95" s="51">
        <f>SUM(K75:K94)</f>
        <v>0</v>
      </c>
      <c r="L95" s="51">
        <f t="shared" ref="L95:V95" si="135">SUM(L75:L94)</f>
        <v>0</v>
      </c>
      <c r="M95" s="51">
        <f t="shared" si="135"/>
        <v>0</v>
      </c>
      <c r="N95" s="51">
        <f t="shared" si="135"/>
        <v>425750</v>
      </c>
      <c r="O95" s="51">
        <f t="shared" si="135"/>
        <v>13500</v>
      </c>
      <c r="P95" s="51">
        <f t="shared" si="135"/>
        <v>12033</v>
      </c>
      <c r="Q95" s="51">
        <f t="shared" si="135"/>
        <v>0</v>
      </c>
      <c r="R95" s="51">
        <f t="shared" si="135"/>
        <v>0</v>
      </c>
      <c r="S95" s="51">
        <f t="shared" si="135"/>
        <v>0</v>
      </c>
      <c r="T95" s="51">
        <f t="shared" si="135"/>
        <v>0</v>
      </c>
      <c r="U95" s="51">
        <f t="shared" si="135"/>
        <v>0</v>
      </c>
      <c r="V95" s="51">
        <f t="shared" si="135"/>
        <v>0</v>
      </c>
      <c r="W95" s="51">
        <f t="shared" si="103"/>
        <v>451283</v>
      </c>
      <c r="X95" s="51">
        <f>SUM(X75:X94)</f>
        <v>0</v>
      </c>
      <c r="Y95" s="51">
        <f t="shared" ref="Y95:AI95" si="136">SUM(Y75:Y94)</f>
        <v>0</v>
      </c>
      <c r="Z95" s="51">
        <f t="shared" si="136"/>
        <v>0</v>
      </c>
      <c r="AA95" s="51">
        <f t="shared" si="136"/>
        <v>425750</v>
      </c>
      <c r="AB95" s="51">
        <f t="shared" si="136"/>
        <v>13500</v>
      </c>
      <c r="AC95" s="51">
        <f t="shared" si="136"/>
        <v>12033</v>
      </c>
      <c r="AD95" s="51">
        <f t="shared" si="136"/>
        <v>0</v>
      </c>
      <c r="AE95" s="51">
        <f t="shared" si="136"/>
        <v>0</v>
      </c>
      <c r="AF95" s="51">
        <f t="shared" si="136"/>
        <v>0</v>
      </c>
      <c r="AG95" s="51">
        <f t="shared" si="136"/>
        <v>0</v>
      </c>
      <c r="AH95" s="51">
        <f t="shared" si="136"/>
        <v>0</v>
      </c>
      <c r="AI95" s="51">
        <f t="shared" si="136"/>
        <v>0</v>
      </c>
      <c r="AJ95" s="51">
        <f t="shared" si="97"/>
        <v>451283</v>
      </c>
      <c r="AK95" s="51">
        <f>SUM(AK75:AK94)</f>
        <v>0</v>
      </c>
      <c r="AL95" s="51">
        <f t="shared" ref="AL95:AV95" si="137">SUM(AL75:AL94)</f>
        <v>0</v>
      </c>
      <c r="AM95" s="51">
        <f t="shared" si="137"/>
        <v>0</v>
      </c>
      <c r="AN95" s="51">
        <f t="shared" si="137"/>
        <v>425750</v>
      </c>
      <c r="AO95" s="51">
        <f t="shared" si="137"/>
        <v>13500</v>
      </c>
      <c r="AP95" s="51">
        <f t="shared" si="137"/>
        <v>12033</v>
      </c>
      <c r="AQ95" s="51">
        <f t="shared" si="137"/>
        <v>0</v>
      </c>
      <c r="AR95" s="51">
        <f t="shared" si="137"/>
        <v>0</v>
      </c>
      <c r="AS95" s="51">
        <f t="shared" si="137"/>
        <v>0</v>
      </c>
      <c r="AT95" s="51">
        <f t="shared" si="137"/>
        <v>0</v>
      </c>
      <c r="AU95" s="51">
        <f t="shared" si="137"/>
        <v>0</v>
      </c>
      <c r="AV95" s="51">
        <f t="shared" si="137"/>
        <v>0</v>
      </c>
      <c r="AW95" s="51">
        <f t="shared" si="98"/>
        <v>451283</v>
      </c>
      <c r="AX95" s="51">
        <f t="shared" si="96"/>
        <v>1353849</v>
      </c>
      <c r="AY95" s="51">
        <f>SUM(AY75:AY94)</f>
        <v>0</v>
      </c>
      <c r="AZ95" s="51">
        <f t="shared" ref="AZ95:BJ95" si="138">SUM(AZ75:AZ94)</f>
        <v>0</v>
      </c>
      <c r="BA95" s="51">
        <f t="shared" si="138"/>
        <v>0</v>
      </c>
      <c r="BB95" s="51">
        <f t="shared" si="138"/>
        <v>424150.02</v>
      </c>
      <c r="BC95" s="51">
        <f t="shared" si="138"/>
        <v>13500</v>
      </c>
      <c r="BD95" s="51">
        <f t="shared" si="138"/>
        <v>12006.630000000001</v>
      </c>
      <c r="BE95" s="51">
        <f t="shared" si="138"/>
        <v>0</v>
      </c>
      <c r="BF95" s="51">
        <f t="shared" si="138"/>
        <v>0</v>
      </c>
      <c r="BG95" s="51">
        <f t="shared" si="138"/>
        <v>0</v>
      </c>
      <c r="BH95" s="51">
        <f t="shared" si="138"/>
        <v>0</v>
      </c>
      <c r="BI95" s="51">
        <f t="shared" si="138"/>
        <v>0</v>
      </c>
      <c r="BJ95" s="51">
        <f t="shared" si="138"/>
        <v>0</v>
      </c>
      <c r="BK95" s="51">
        <f t="shared" si="104"/>
        <v>449656.65</v>
      </c>
      <c r="BL95" s="51">
        <f>SUM(BL75:BL94)</f>
        <v>0</v>
      </c>
      <c r="BM95" s="51">
        <f t="shared" ref="BM95:BW95" si="139">SUM(BM75:BM94)</f>
        <v>0</v>
      </c>
      <c r="BN95" s="51">
        <f t="shared" si="139"/>
        <v>0</v>
      </c>
      <c r="BO95" s="51">
        <f t="shared" si="139"/>
        <v>425750</v>
      </c>
      <c r="BP95" s="51">
        <f t="shared" si="139"/>
        <v>13500</v>
      </c>
      <c r="BQ95" s="51">
        <f t="shared" si="139"/>
        <v>12033</v>
      </c>
      <c r="BR95" s="51">
        <f t="shared" si="139"/>
        <v>0</v>
      </c>
      <c r="BS95" s="51">
        <f t="shared" si="139"/>
        <v>0</v>
      </c>
      <c r="BT95" s="51">
        <f t="shared" si="139"/>
        <v>0</v>
      </c>
      <c r="BU95" s="51">
        <f t="shared" si="139"/>
        <v>0</v>
      </c>
      <c r="BV95" s="51">
        <f t="shared" si="139"/>
        <v>0</v>
      </c>
      <c r="BW95" s="51">
        <f t="shared" si="139"/>
        <v>0</v>
      </c>
      <c r="BX95" s="51">
        <f t="shared" si="99"/>
        <v>451283</v>
      </c>
      <c r="BY95" s="51">
        <f>SUM(BY75:BY94)</f>
        <v>0</v>
      </c>
      <c r="BZ95" s="51">
        <f t="shared" ref="BZ95:CJ95" si="140">SUM(BZ75:BZ94)</f>
        <v>0</v>
      </c>
      <c r="CA95" s="51">
        <f t="shared" si="140"/>
        <v>0</v>
      </c>
      <c r="CB95" s="51">
        <f t="shared" si="140"/>
        <v>425750</v>
      </c>
      <c r="CC95" s="51">
        <f t="shared" si="140"/>
        <v>13500</v>
      </c>
      <c r="CD95" s="51">
        <f t="shared" si="140"/>
        <v>12033</v>
      </c>
      <c r="CE95" s="51">
        <f t="shared" si="140"/>
        <v>0</v>
      </c>
      <c r="CF95" s="51">
        <f t="shared" si="140"/>
        <v>0</v>
      </c>
      <c r="CG95" s="51">
        <f t="shared" si="140"/>
        <v>0</v>
      </c>
      <c r="CH95" s="51">
        <f t="shared" si="140"/>
        <v>0</v>
      </c>
      <c r="CI95" s="51">
        <f t="shared" si="140"/>
        <v>0</v>
      </c>
      <c r="CJ95" s="51">
        <f t="shared" si="140"/>
        <v>0</v>
      </c>
      <c r="CK95" s="51">
        <f t="shared" si="100"/>
        <v>451283</v>
      </c>
      <c r="CL95" s="51">
        <f t="shared" si="105"/>
        <v>1352222.65</v>
      </c>
      <c r="CM95" s="51">
        <f>SUM(CM75:CM94)</f>
        <v>0</v>
      </c>
      <c r="CN95" s="51">
        <f t="shared" ref="CN95:CX95" si="141">SUM(CN75:CN94)</f>
        <v>0</v>
      </c>
      <c r="CO95" s="51">
        <f t="shared" si="141"/>
        <v>0</v>
      </c>
      <c r="CP95" s="51">
        <f t="shared" si="141"/>
        <v>447000</v>
      </c>
      <c r="CQ95" s="51">
        <f t="shared" si="141"/>
        <v>13500</v>
      </c>
      <c r="CR95" s="51">
        <f t="shared" si="141"/>
        <v>12637</v>
      </c>
      <c r="CS95" s="51">
        <f t="shared" si="141"/>
        <v>0</v>
      </c>
      <c r="CT95" s="51">
        <f t="shared" si="141"/>
        <v>0</v>
      </c>
      <c r="CU95" s="51">
        <f t="shared" si="141"/>
        <v>0</v>
      </c>
      <c r="CV95" s="51">
        <f t="shared" si="141"/>
        <v>0</v>
      </c>
      <c r="CW95" s="51">
        <f t="shared" si="141"/>
        <v>0</v>
      </c>
      <c r="CX95" s="51">
        <f t="shared" si="141"/>
        <v>0</v>
      </c>
      <c r="CY95" s="51">
        <f t="shared" si="106"/>
        <v>473137</v>
      </c>
      <c r="CZ95" s="51">
        <f>SUM(CZ75:CZ94)</f>
        <v>0</v>
      </c>
      <c r="DA95" s="51">
        <f t="shared" ref="DA95:DK95" si="142">SUM(DA75:DA94)</f>
        <v>0</v>
      </c>
      <c r="DB95" s="51">
        <f t="shared" si="142"/>
        <v>0</v>
      </c>
      <c r="DC95" s="51">
        <f t="shared" si="142"/>
        <v>572713.29</v>
      </c>
      <c r="DD95" s="51">
        <f t="shared" si="142"/>
        <v>13523.02</v>
      </c>
      <c r="DE95" s="51">
        <f t="shared" si="142"/>
        <v>16212</v>
      </c>
      <c r="DF95" s="51">
        <f t="shared" si="142"/>
        <v>0</v>
      </c>
      <c r="DG95" s="51">
        <f t="shared" si="142"/>
        <v>0</v>
      </c>
      <c r="DH95" s="51">
        <f t="shared" si="142"/>
        <v>0</v>
      </c>
      <c r="DI95" s="51">
        <f t="shared" si="142"/>
        <v>0</v>
      </c>
      <c r="DJ95" s="51">
        <f t="shared" si="142"/>
        <v>0</v>
      </c>
      <c r="DK95" s="51">
        <f t="shared" si="142"/>
        <v>0</v>
      </c>
      <c r="DL95" s="51">
        <f t="shared" si="101"/>
        <v>602448.31000000006</v>
      </c>
      <c r="DM95" s="51">
        <f>SUM(DM75:DM94)</f>
        <v>0</v>
      </c>
      <c r="DN95" s="51">
        <f t="shared" ref="DN95:DX95" si="143">SUM(DN75:DN94)</f>
        <v>0</v>
      </c>
      <c r="DO95" s="51">
        <f t="shared" si="143"/>
        <v>0</v>
      </c>
      <c r="DP95" s="51">
        <f t="shared" si="143"/>
        <v>447000</v>
      </c>
      <c r="DQ95" s="51">
        <f t="shared" si="143"/>
        <v>13500</v>
      </c>
      <c r="DR95" s="51">
        <f t="shared" si="143"/>
        <v>12637</v>
      </c>
      <c r="DS95" s="51">
        <f t="shared" si="143"/>
        <v>0</v>
      </c>
      <c r="DT95" s="51">
        <f t="shared" si="143"/>
        <v>0</v>
      </c>
      <c r="DU95" s="51">
        <f t="shared" si="143"/>
        <v>0</v>
      </c>
      <c r="DV95" s="51">
        <f t="shared" si="143"/>
        <v>0</v>
      </c>
      <c r="DW95" s="51">
        <f t="shared" si="143"/>
        <v>0</v>
      </c>
      <c r="DX95" s="51">
        <f t="shared" si="143"/>
        <v>0</v>
      </c>
      <c r="DY95" s="51">
        <f t="shared" si="107"/>
        <v>473137</v>
      </c>
      <c r="DZ95" s="51">
        <f t="shared" si="108"/>
        <v>1548722.31</v>
      </c>
      <c r="EA95" s="51">
        <f>SUM(EA75:EA94)</f>
        <v>0</v>
      </c>
      <c r="EB95" s="51">
        <f t="shared" ref="EB95:EL95" si="144">SUM(EB75:EB94)</f>
        <v>0</v>
      </c>
      <c r="EC95" s="51">
        <f t="shared" si="144"/>
        <v>0</v>
      </c>
      <c r="ED95" s="51">
        <f t="shared" si="144"/>
        <v>447000</v>
      </c>
      <c r="EE95" s="51">
        <f t="shared" si="144"/>
        <v>13500</v>
      </c>
      <c r="EF95" s="51">
        <f t="shared" si="144"/>
        <v>10325</v>
      </c>
      <c r="EG95" s="51">
        <f t="shared" si="144"/>
        <v>0</v>
      </c>
      <c r="EH95" s="51">
        <f t="shared" si="144"/>
        <v>0</v>
      </c>
      <c r="EI95" s="51">
        <f t="shared" si="144"/>
        <v>0</v>
      </c>
      <c r="EJ95" s="51">
        <f t="shared" si="144"/>
        <v>0</v>
      </c>
      <c r="EK95" s="51">
        <f t="shared" si="144"/>
        <v>0</v>
      </c>
      <c r="EL95" s="51">
        <f t="shared" si="144"/>
        <v>0</v>
      </c>
      <c r="EM95" s="51">
        <f t="shared" si="109"/>
        <v>470825</v>
      </c>
      <c r="EN95" s="51">
        <f>SUM(EN75:EN94)</f>
        <v>0</v>
      </c>
      <c r="EO95" s="51">
        <f t="shared" ref="EO95:EY95" si="145">SUM(EO75:EO94)</f>
        <v>0</v>
      </c>
      <c r="EP95" s="51">
        <f t="shared" si="145"/>
        <v>0</v>
      </c>
      <c r="EQ95" s="51">
        <f t="shared" si="145"/>
        <v>447000</v>
      </c>
      <c r="ER95" s="51">
        <f t="shared" si="145"/>
        <v>13500</v>
      </c>
      <c r="ES95" s="51">
        <f t="shared" si="145"/>
        <v>10325</v>
      </c>
      <c r="ET95" s="51">
        <f t="shared" si="145"/>
        <v>0</v>
      </c>
      <c r="EU95" s="51">
        <f t="shared" si="145"/>
        <v>0</v>
      </c>
      <c r="EV95" s="51">
        <f t="shared" si="145"/>
        <v>0</v>
      </c>
      <c r="EW95" s="51">
        <f t="shared" si="145"/>
        <v>0</v>
      </c>
      <c r="EX95" s="51">
        <f t="shared" si="145"/>
        <v>0</v>
      </c>
      <c r="EY95" s="51">
        <f t="shared" si="145"/>
        <v>0</v>
      </c>
      <c r="EZ95" s="51">
        <f t="shared" si="102"/>
        <v>470825</v>
      </c>
      <c r="FA95" s="51">
        <f>SUM(FA75:FA94)</f>
        <v>0</v>
      </c>
      <c r="FB95" s="51">
        <f t="shared" ref="FB95:FL95" si="146">SUM(FB75:FB94)</f>
        <v>0</v>
      </c>
      <c r="FC95" s="51">
        <f t="shared" si="146"/>
        <v>0</v>
      </c>
      <c r="FD95" s="51">
        <f t="shared" si="146"/>
        <v>447000</v>
      </c>
      <c r="FE95" s="51">
        <f t="shared" si="146"/>
        <v>13500</v>
      </c>
      <c r="FF95" s="51">
        <f t="shared" si="146"/>
        <v>10325</v>
      </c>
      <c r="FG95" s="51">
        <f t="shared" si="146"/>
        <v>0</v>
      </c>
      <c r="FH95" s="51">
        <f t="shared" si="146"/>
        <v>0</v>
      </c>
      <c r="FI95" s="51">
        <f t="shared" si="146"/>
        <v>0</v>
      </c>
      <c r="FJ95" s="51">
        <f t="shared" si="146"/>
        <v>0</v>
      </c>
      <c r="FK95" s="51">
        <f t="shared" si="146"/>
        <v>0</v>
      </c>
      <c r="FL95" s="51">
        <f t="shared" si="146"/>
        <v>0</v>
      </c>
      <c r="FM95" s="51">
        <f t="shared" si="110"/>
        <v>470825</v>
      </c>
      <c r="FN95" s="51">
        <f t="shared" si="111"/>
        <v>1412475</v>
      </c>
      <c r="FO95" s="35">
        <f t="shared" si="112"/>
        <v>5667268.96</v>
      </c>
    </row>
    <row r="96" spans="1:171" x14ac:dyDescent="0.35">
      <c r="A96" s="34" t="s">
        <v>4</v>
      </c>
      <c r="B96" s="40" t="s">
        <v>119</v>
      </c>
      <c r="C96" s="58"/>
      <c r="D96" s="41"/>
      <c r="E96" s="58"/>
      <c r="F96" s="58"/>
      <c r="G96" s="58"/>
      <c r="H96" s="58"/>
      <c r="I96" s="58"/>
      <c r="J96" s="58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>
        <f t="shared" si="103"/>
        <v>0</v>
      </c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>
        <f t="shared" si="97"/>
        <v>0</v>
      </c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>
        <f t="shared" si="98"/>
        <v>0</v>
      </c>
      <c r="AX96" s="35">
        <f t="shared" si="96"/>
        <v>0</v>
      </c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>
        <f t="shared" si="104"/>
        <v>0</v>
      </c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>
        <f t="shared" si="99"/>
        <v>0</v>
      </c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>
        <f t="shared" si="100"/>
        <v>0</v>
      </c>
      <c r="CL96" s="35">
        <f t="shared" si="105"/>
        <v>0</v>
      </c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>
        <f t="shared" si="106"/>
        <v>0</v>
      </c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>
        <f t="shared" si="101"/>
        <v>0</v>
      </c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>
        <f t="shared" si="107"/>
        <v>0</v>
      </c>
      <c r="DZ96" s="35">
        <f t="shared" si="108"/>
        <v>0</v>
      </c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>
        <f t="shared" si="109"/>
        <v>0</v>
      </c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>
        <f t="shared" si="102"/>
        <v>0</v>
      </c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>
        <f t="shared" si="110"/>
        <v>0</v>
      </c>
      <c r="FN96" s="35">
        <f t="shared" si="111"/>
        <v>0</v>
      </c>
      <c r="FO96" s="35">
        <f t="shared" si="112"/>
        <v>0</v>
      </c>
    </row>
    <row r="97" spans="1:171" x14ac:dyDescent="0.35">
      <c r="A97" s="34"/>
      <c r="B97" s="40"/>
      <c r="C97" s="58"/>
      <c r="D97" s="79" t="s">
        <v>187</v>
      </c>
      <c r="E97" s="58" t="s">
        <v>9</v>
      </c>
      <c r="F97" s="58" t="s">
        <v>17</v>
      </c>
      <c r="G97" s="58"/>
      <c r="H97" s="58"/>
      <c r="I97" s="58"/>
      <c r="J97" s="58"/>
      <c r="K97" s="35"/>
      <c r="L97" s="35"/>
      <c r="M97" s="35"/>
      <c r="N97" s="35">
        <v>22920</v>
      </c>
      <c r="O97" s="35">
        <v>750</v>
      </c>
      <c r="P97" s="35">
        <v>688</v>
      </c>
      <c r="Q97" s="35"/>
      <c r="R97" s="35"/>
      <c r="S97" s="35"/>
      <c r="T97" s="35"/>
      <c r="U97" s="35"/>
      <c r="V97" s="35"/>
      <c r="W97" s="35">
        <f t="shared" si="103"/>
        <v>24358</v>
      </c>
      <c r="X97" s="35"/>
      <c r="Y97" s="35"/>
      <c r="Z97" s="35"/>
      <c r="AA97" s="35">
        <v>22920</v>
      </c>
      <c r="AB97" s="35">
        <v>750</v>
      </c>
      <c r="AC97" s="35">
        <v>688</v>
      </c>
      <c r="AD97" s="35"/>
      <c r="AE97" s="35"/>
      <c r="AF97" s="35"/>
      <c r="AG97" s="35"/>
      <c r="AH97" s="35"/>
      <c r="AI97" s="35"/>
      <c r="AJ97" s="35">
        <f t="shared" si="97"/>
        <v>24358</v>
      </c>
      <c r="AK97" s="35"/>
      <c r="AL97" s="35"/>
      <c r="AM97" s="35"/>
      <c r="AN97" s="35">
        <v>22920</v>
      </c>
      <c r="AO97" s="35">
        <v>750</v>
      </c>
      <c r="AP97" s="35">
        <v>688</v>
      </c>
      <c r="AQ97" s="35"/>
      <c r="AR97" s="35"/>
      <c r="AS97" s="35"/>
      <c r="AT97" s="35"/>
      <c r="AU97" s="35"/>
      <c r="AV97" s="35"/>
      <c r="AW97" s="35">
        <f t="shared" si="98"/>
        <v>24358</v>
      </c>
      <c r="AX97" s="35">
        <f t="shared" si="96"/>
        <v>73074</v>
      </c>
      <c r="AY97" s="35"/>
      <c r="AZ97" s="35"/>
      <c r="BA97" s="35"/>
      <c r="BB97" s="35">
        <v>22920</v>
      </c>
      <c r="BC97" s="35">
        <v>750</v>
      </c>
      <c r="BD97" s="35">
        <v>688</v>
      </c>
      <c r="BE97" s="35"/>
      <c r="BF97" s="35"/>
      <c r="BG97" s="35"/>
      <c r="BH97" s="35"/>
      <c r="BI97" s="35"/>
      <c r="BJ97" s="35"/>
      <c r="BK97" s="35">
        <f t="shared" si="104"/>
        <v>24358</v>
      </c>
      <c r="BL97" s="35"/>
      <c r="BM97" s="35"/>
      <c r="BN97" s="35"/>
      <c r="BO97" s="35">
        <v>22920</v>
      </c>
      <c r="BP97" s="35">
        <v>750</v>
      </c>
      <c r="BQ97" s="35">
        <v>688</v>
      </c>
      <c r="BR97" s="35"/>
      <c r="BS97" s="35"/>
      <c r="BT97" s="35"/>
      <c r="BU97" s="35"/>
      <c r="BV97" s="35"/>
      <c r="BW97" s="35"/>
      <c r="BX97" s="35">
        <f t="shared" si="99"/>
        <v>24358</v>
      </c>
      <c r="BY97" s="35"/>
      <c r="BZ97" s="35"/>
      <c r="CA97" s="35"/>
      <c r="CB97" s="35">
        <v>22920</v>
      </c>
      <c r="CC97" s="35">
        <v>750</v>
      </c>
      <c r="CD97" s="35">
        <v>688</v>
      </c>
      <c r="CE97" s="35"/>
      <c r="CF97" s="35"/>
      <c r="CG97" s="35"/>
      <c r="CH97" s="35"/>
      <c r="CI97" s="35"/>
      <c r="CJ97" s="35"/>
      <c r="CK97" s="35">
        <f t="shared" si="100"/>
        <v>24358</v>
      </c>
      <c r="CL97" s="35">
        <f t="shared" si="105"/>
        <v>73074</v>
      </c>
      <c r="CM97" s="35"/>
      <c r="CN97" s="35"/>
      <c r="CO97" s="35"/>
      <c r="CP97" s="35">
        <v>24060</v>
      </c>
      <c r="CQ97" s="35">
        <v>750</v>
      </c>
      <c r="CR97" s="35">
        <v>722</v>
      </c>
      <c r="CS97" s="35"/>
      <c r="CT97" s="35"/>
      <c r="CU97" s="35"/>
      <c r="CV97" s="35"/>
      <c r="CW97" s="35"/>
      <c r="CX97" s="35"/>
      <c r="CY97" s="35">
        <f t="shared" si="106"/>
        <v>25532</v>
      </c>
      <c r="CZ97" s="35"/>
      <c r="DA97" s="35"/>
      <c r="DB97" s="35"/>
      <c r="DC97" s="35">
        <f>6840+24060</f>
        <v>30900</v>
      </c>
      <c r="DD97" s="35">
        <v>750</v>
      </c>
      <c r="DE97" s="35">
        <f>204+722</f>
        <v>926</v>
      </c>
      <c r="DF97" s="35"/>
      <c r="DG97" s="35"/>
      <c r="DH97" s="35"/>
      <c r="DI97" s="35"/>
      <c r="DJ97" s="35"/>
      <c r="DK97" s="35"/>
      <c r="DL97" s="35">
        <f t="shared" si="101"/>
        <v>32576</v>
      </c>
      <c r="DM97" s="35"/>
      <c r="DN97" s="35"/>
      <c r="DO97" s="35"/>
      <c r="DP97" s="35">
        <v>24060</v>
      </c>
      <c r="DQ97" s="35">
        <v>750</v>
      </c>
      <c r="DR97" s="35">
        <v>722</v>
      </c>
      <c r="DS97" s="35"/>
      <c r="DT97" s="35"/>
      <c r="DU97" s="35"/>
      <c r="DV97" s="35"/>
      <c r="DW97" s="35"/>
      <c r="DX97" s="35"/>
      <c r="DY97" s="35">
        <f t="shared" si="107"/>
        <v>25532</v>
      </c>
      <c r="DZ97" s="35">
        <f t="shared" si="108"/>
        <v>83640</v>
      </c>
      <c r="EA97" s="35"/>
      <c r="EB97" s="35"/>
      <c r="EC97" s="35"/>
      <c r="ED97" s="35">
        <v>24060</v>
      </c>
      <c r="EE97" s="35">
        <v>750</v>
      </c>
      <c r="EF97" s="35">
        <v>722</v>
      </c>
      <c r="EG97" s="35"/>
      <c r="EH97" s="35"/>
      <c r="EI97" s="35"/>
      <c r="EJ97" s="35"/>
      <c r="EK97" s="35"/>
      <c r="EL97" s="35"/>
      <c r="EM97" s="35">
        <f t="shared" si="109"/>
        <v>25532</v>
      </c>
      <c r="EN97" s="35"/>
      <c r="EO97" s="35"/>
      <c r="EP97" s="35"/>
      <c r="EQ97" s="35">
        <v>24060</v>
      </c>
      <c r="ER97" s="35">
        <v>750</v>
      </c>
      <c r="ES97" s="35">
        <v>722</v>
      </c>
      <c r="ET97" s="35"/>
      <c r="EU97" s="35"/>
      <c r="EV97" s="35"/>
      <c r="EW97" s="35"/>
      <c r="EX97" s="35"/>
      <c r="EY97" s="35"/>
      <c r="EZ97" s="35">
        <f t="shared" si="102"/>
        <v>25532</v>
      </c>
      <c r="FA97" s="35"/>
      <c r="FB97" s="35"/>
      <c r="FC97" s="35"/>
      <c r="FD97" s="35">
        <v>24060</v>
      </c>
      <c r="FE97" s="35">
        <v>750</v>
      </c>
      <c r="FF97" s="35">
        <v>722</v>
      </c>
      <c r="FG97" s="35"/>
      <c r="FH97" s="35"/>
      <c r="FI97" s="35"/>
      <c r="FJ97" s="35"/>
      <c r="FK97" s="35"/>
      <c r="FL97" s="35"/>
      <c r="FM97" s="35">
        <f t="shared" si="110"/>
        <v>25532</v>
      </c>
      <c r="FN97" s="35">
        <f t="shared" si="111"/>
        <v>76596</v>
      </c>
      <c r="FO97" s="35">
        <f t="shared" si="112"/>
        <v>306384</v>
      </c>
    </row>
    <row r="98" spans="1:171" x14ac:dyDescent="0.35">
      <c r="A98" s="34"/>
      <c r="B98" s="40"/>
      <c r="C98" s="58"/>
      <c r="D98" s="79" t="s">
        <v>188</v>
      </c>
      <c r="E98" s="58" t="s">
        <v>9</v>
      </c>
      <c r="F98" s="58" t="s">
        <v>17</v>
      </c>
      <c r="G98" s="58"/>
      <c r="H98" s="58"/>
      <c r="I98" s="58"/>
      <c r="J98" s="58"/>
      <c r="K98" s="35"/>
      <c r="L98" s="35"/>
      <c r="M98" s="35"/>
      <c r="N98" s="35">
        <v>19900</v>
      </c>
      <c r="O98" s="35">
        <v>750</v>
      </c>
      <c r="P98" s="35">
        <v>0</v>
      </c>
      <c r="Q98" s="35"/>
      <c r="R98" s="35"/>
      <c r="S98" s="35"/>
      <c r="T98" s="35"/>
      <c r="U98" s="35"/>
      <c r="V98" s="35"/>
      <c r="W98" s="35">
        <f t="shared" si="103"/>
        <v>20650</v>
      </c>
      <c r="X98" s="35"/>
      <c r="Y98" s="35"/>
      <c r="Z98" s="35"/>
      <c r="AA98" s="35">
        <v>19900</v>
      </c>
      <c r="AB98" s="35">
        <v>750</v>
      </c>
      <c r="AC98" s="35">
        <v>0</v>
      </c>
      <c r="AD98" s="35"/>
      <c r="AE98" s="35"/>
      <c r="AF98" s="35"/>
      <c r="AG98" s="35"/>
      <c r="AH98" s="35"/>
      <c r="AI98" s="35"/>
      <c r="AJ98" s="35">
        <f t="shared" si="97"/>
        <v>20650</v>
      </c>
      <c r="AK98" s="35"/>
      <c r="AL98" s="35"/>
      <c r="AM98" s="35"/>
      <c r="AN98" s="35">
        <v>19900</v>
      </c>
      <c r="AO98" s="35">
        <v>750</v>
      </c>
      <c r="AP98" s="35">
        <v>0</v>
      </c>
      <c r="AQ98" s="35"/>
      <c r="AR98" s="35"/>
      <c r="AS98" s="35"/>
      <c r="AT98" s="35"/>
      <c r="AU98" s="35"/>
      <c r="AV98" s="35"/>
      <c r="AW98" s="35">
        <f t="shared" si="98"/>
        <v>20650</v>
      </c>
      <c r="AX98" s="35">
        <f t="shared" si="96"/>
        <v>61950</v>
      </c>
      <c r="AY98" s="35"/>
      <c r="AZ98" s="35"/>
      <c r="BA98" s="35"/>
      <c r="BB98" s="35">
        <v>19900</v>
      </c>
      <c r="BC98" s="35">
        <v>750</v>
      </c>
      <c r="BD98" s="35">
        <v>0</v>
      </c>
      <c r="BE98" s="35"/>
      <c r="BF98" s="35"/>
      <c r="BG98" s="35"/>
      <c r="BH98" s="35"/>
      <c r="BI98" s="35"/>
      <c r="BJ98" s="35"/>
      <c r="BK98" s="35">
        <f t="shared" si="104"/>
        <v>20650</v>
      </c>
      <c r="BL98" s="35"/>
      <c r="BM98" s="35"/>
      <c r="BN98" s="35"/>
      <c r="BO98" s="35">
        <v>19900</v>
      </c>
      <c r="BP98" s="35">
        <v>750</v>
      </c>
      <c r="BQ98" s="35">
        <v>0</v>
      </c>
      <c r="BR98" s="35"/>
      <c r="BS98" s="35"/>
      <c r="BT98" s="35"/>
      <c r="BU98" s="35"/>
      <c r="BV98" s="35"/>
      <c r="BW98" s="35"/>
      <c r="BX98" s="35">
        <f t="shared" si="99"/>
        <v>20650</v>
      </c>
      <c r="BY98" s="35"/>
      <c r="BZ98" s="35"/>
      <c r="CA98" s="35"/>
      <c r="CB98" s="35">
        <v>19900</v>
      </c>
      <c r="CC98" s="35">
        <v>750</v>
      </c>
      <c r="CD98" s="35">
        <v>0</v>
      </c>
      <c r="CE98" s="35"/>
      <c r="CF98" s="35"/>
      <c r="CG98" s="35"/>
      <c r="CH98" s="35"/>
      <c r="CI98" s="35"/>
      <c r="CJ98" s="35"/>
      <c r="CK98" s="35">
        <f t="shared" si="100"/>
        <v>20650</v>
      </c>
      <c r="CL98" s="35">
        <f t="shared" si="105"/>
        <v>61950</v>
      </c>
      <c r="CM98" s="35"/>
      <c r="CN98" s="35"/>
      <c r="CO98" s="35"/>
      <c r="CP98" s="35">
        <v>20890</v>
      </c>
      <c r="CQ98" s="35">
        <v>750</v>
      </c>
      <c r="CR98" s="35">
        <v>0</v>
      </c>
      <c r="CS98" s="35"/>
      <c r="CT98" s="35"/>
      <c r="CU98" s="35"/>
      <c r="CV98" s="35"/>
      <c r="CW98" s="35"/>
      <c r="CX98" s="35"/>
      <c r="CY98" s="35">
        <f t="shared" si="106"/>
        <v>21640</v>
      </c>
      <c r="CZ98" s="35"/>
      <c r="DA98" s="35"/>
      <c r="DB98" s="35"/>
      <c r="DC98" s="35">
        <f>5940+20890</f>
        <v>26830</v>
      </c>
      <c r="DD98" s="35">
        <f>2.6+750</f>
        <v>752.6</v>
      </c>
      <c r="DE98" s="35">
        <v>0</v>
      </c>
      <c r="DF98" s="35"/>
      <c r="DG98" s="35"/>
      <c r="DH98" s="35"/>
      <c r="DI98" s="35"/>
      <c r="DJ98" s="35"/>
      <c r="DK98" s="35"/>
      <c r="DL98" s="35">
        <f t="shared" si="101"/>
        <v>27582.6</v>
      </c>
      <c r="DM98" s="35"/>
      <c r="DN98" s="35"/>
      <c r="DO98" s="35"/>
      <c r="DP98" s="35">
        <v>20890</v>
      </c>
      <c r="DQ98" s="35">
        <v>750</v>
      </c>
      <c r="DR98" s="35">
        <v>0</v>
      </c>
      <c r="DS98" s="35"/>
      <c r="DT98" s="35"/>
      <c r="DU98" s="35"/>
      <c r="DV98" s="35"/>
      <c r="DW98" s="35"/>
      <c r="DX98" s="35"/>
      <c r="DY98" s="35">
        <f t="shared" si="107"/>
        <v>21640</v>
      </c>
      <c r="DZ98" s="35">
        <f t="shared" si="108"/>
        <v>70862.600000000006</v>
      </c>
      <c r="EA98" s="35"/>
      <c r="EB98" s="35"/>
      <c r="EC98" s="35"/>
      <c r="ED98" s="35">
        <v>20890</v>
      </c>
      <c r="EE98" s="35">
        <v>750</v>
      </c>
      <c r="EF98" s="35">
        <v>0</v>
      </c>
      <c r="EG98" s="35"/>
      <c r="EH98" s="35"/>
      <c r="EI98" s="35"/>
      <c r="EJ98" s="35"/>
      <c r="EK98" s="35"/>
      <c r="EL98" s="35"/>
      <c r="EM98" s="35">
        <f t="shared" si="109"/>
        <v>21640</v>
      </c>
      <c r="EN98" s="35"/>
      <c r="EO98" s="35"/>
      <c r="EP98" s="35"/>
      <c r="EQ98" s="35">
        <v>20890</v>
      </c>
      <c r="ER98" s="35">
        <v>750</v>
      </c>
      <c r="ES98" s="35">
        <v>0</v>
      </c>
      <c r="ET98" s="35"/>
      <c r="EU98" s="35"/>
      <c r="EV98" s="35"/>
      <c r="EW98" s="35"/>
      <c r="EX98" s="35"/>
      <c r="EY98" s="35"/>
      <c r="EZ98" s="35">
        <f t="shared" si="102"/>
        <v>21640</v>
      </c>
      <c r="FA98" s="35"/>
      <c r="FB98" s="35"/>
      <c r="FC98" s="35"/>
      <c r="FD98" s="35">
        <v>20890</v>
      </c>
      <c r="FE98" s="35">
        <v>750</v>
      </c>
      <c r="FF98" s="35">
        <v>0</v>
      </c>
      <c r="FG98" s="35"/>
      <c r="FH98" s="35"/>
      <c r="FI98" s="35"/>
      <c r="FJ98" s="35"/>
      <c r="FK98" s="35"/>
      <c r="FL98" s="35"/>
      <c r="FM98" s="35">
        <f t="shared" si="110"/>
        <v>21640</v>
      </c>
      <c r="FN98" s="35">
        <f t="shared" si="111"/>
        <v>64920</v>
      </c>
      <c r="FO98" s="35">
        <f t="shared" si="112"/>
        <v>259682.6</v>
      </c>
    </row>
    <row r="99" spans="1:171" x14ac:dyDescent="0.35">
      <c r="A99" s="34"/>
      <c r="B99" s="40"/>
      <c r="C99" s="58"/>
      <c r="D99" s="41"/>
      <c r="E99" s="58"/>
      <c r="F99" s="58"/>
      <c r="G99" s="58"/>
      <c r="H99" s="58"/>
      <c r="I99" s="58"/>
      <c r="J99" s="58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>
        <f t="shared" si="103"/>
        <v>0</v>
      </c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>
        <f t="shared" si="97"/>
        <v>0</v>
      </c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>
        <f t="shared" si="98"/>
        <v>0</v>
      </c>
      <c r="AX99" s="35">
        <f t="shared" si="96"/>
        <v>0</v>
      </c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>
        <f t="shared" si="104"/>
        <v>0</v>
      </c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>
        <f t="shared" si="99"/>
        <v>0</v>
      </c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>
        <f t="shared" si="100"/>
        <v>0</v>
      </c>
      <c r="CL99" s="35">
        <f t="shared" si="105"/>
        <v>0</v>
      </c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>
        <f t="shared" si="106"/>
        <v>0</v>
      </c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>
        <f t="shared" si="101"/>
        <v>0</v>
      </c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>
        <f t="shared" si="107"/>
        <v>0</v>
      </c>
      <c r="DZ99" s="35">
        <f t="shared" si="108"/>
        <v>0</v>
      </c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>
        <f t="shared" si="109"/>
        <v>0</v>
      </c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>
        <f t="shared" si="102"/>
        <v>0</v>
      </c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>
        <f t="shared" si="110"/>
        <v>0</v>
      </c>
      <c r="FN99" s="35">
        <f t="shared" si="111"/>
        <v>0</v>
      </c>
      <c r="FO99" s="35">
        <f t="shared" si="112"/>
        <v>0</v>
      </c>
    </row>
    <row r="100" spans="1:171" x14ac:dyDescent="0.35">
      <c r="A100" s="48"/>
      <c r="B100" s="49" t="s">
        <v>119</v>
      </c>
      <c r="C100" s="59"/>
      <c r="D100" s="50"/>
      <c r="E100" s="59"/>
      <c r="F100" s="59"/>
      <c r="G100" s="59"/>
      <c r="H100" s="59"/>
      <c r="I100" s="59"/>
      <c r="J100" s="59"/>
      <c r="K100" s="51">
        <f>SUM(K97:K99)</f>
        <v>0</v>
      </c>
      <c r="L100" s="51">
        <f t="shared" ref="L100:V100" si="147">SUM(L97:L99)</f>
        <v>0</v>
      </c>
      <c r="M100" s="51">
        <f t="shared" si="147"/>
        <v>0</v>
      </c>
      <c r="N100" s="51">
        <f t="shared" si="147"/>
        <v>42820</v>
      </c>
      <c r="O100" s="51">
        <f t="shared" si="147"/>
        <v>1500</v>
      </c>
      <c r="P100" s="51">
        <f t="shared" si="147"/>
        <v>688</v>
      </c>
      <c r="Q100" s="51">
        <f t="shared" si="147"/>
        <v>0</v>
      </c>
      <c r="R100" s="51">
        <f t="shared" si="147"/>
        <v>0</v>
      </c>
      <c r="S100" s="51">
        <f t="shared" si="147"/>
        <v>0</v>
      </c>
      <c r="T100" s="51">
        <f t="shared" si="147"/>
        <v>0</v>
      </c>
      <c r="U100" s="51">
        <f t="shared" si="147"/>
        <v>0</v>
      </c>
      <c r="V100" s="51">
        <f t="shared" si="147"/>
        <v>0</v>
      </c>
      <c r="W100" s="51">
        <f t="shared" si="103"/>
        <v>45008</v>
      </c>
      <c r="X100" s="51">
        <f>SUM(X97:X99)</f>
        <v>0</v>
      </c>
      <c r="Y100" s="51">
        <f t="shared" ref="Y100:AI100" si="148">SUM(Y97:Y99)</f>
        <v>0</v>
      </c>
      <c r="Z100" s="51">
        <f t="shared" si="148"/>
        <v>0</v>
      </c>
      <c r="AA100" s="51">
        <f t="shared" si="148"/>
        <v>42820</v>
      </c>
      <c r="AB100" s="51">
        <f t="shared" si="148"/>
        <v>1500</v>
      </c>
      <c r="AC100" s="51">
        <f t="shared" si="148"/>
        <v>688</v>
      </c>
      <c r="AD100" s="51">
        <f t="shared" si="148"/>
        <v>0</v>
      </c>
      <c r="AE100" s="51">
        <f t="shared" si="148"/>
        <v>0</v>
      </c>
      <c r="AF100" s="51">
        <f t="shared" si="148"/>
        <v>0</v>
      </c>
      <c r="AG100" s="51">
        <f t="shared" si="148"/>
        <v>0</v>
      </c>
      <c r="AH100" s="51">
        <f t="shared" si="148"/>
        <v>0</v>
      </c>
      <c r="AI100" s="51">
        <f t="shared" si="148"/>
        <v>0</v>
      </c>
      <c r="AJ100" s="51">
        <f t="shared" si="97"/>
        <v>45008</v>
      </c>
      <c r="AK100" s="51">
        <f>SUM(AK97:AK99)</f>
        <v>0</v>
      </c>
      <c r="AL100" s="51">
        <f t="shared" ref="AL100:AV100" si="149">SUM(AL97:AL99)</f>
        <v>0</v>
      </c>
      <c r="AM100" s="51">
        <f t="shared" si="149"/>
        <v>0</v>
      </c>
      <c r="AN100" s="51">
        <f t="shared" si="149"/>
        <v>42820</v>
      </c>
      <c r="AO100" s="51">
        <f t="shared" si="149"/>
        <v>1500</v>
      </c>
      <c r="AP100" s="51">
        <f t="shared" si="149"/>
        <v>688</v>
      </c>
      <c r="AQ100" s="51">
        <f t="shared" si="149"/>
        <v>0</v>
      </c>
      <c r="AR100" s="51">
        <f t="shared" si="149"/>
        <v>0</v>
      </c>
      <c r="AS100" s="51">
        <f t="shared" si="149"/>
        <v>0</v>
      </c>
      <c r="AT100" s="51">
        <f t="shared" si="149"/>
        <v>0</v>
      </c>
      <c r="AU100" s="51">
        <f t="shared" si="149"/>
        <v>0</v>
      </c>
      <c r="AV100" s="51">
        <f t="shared" si="149"/>
        <v>0</v>
      </c>
      <c r="AW100" s="51">
        <f t="shared" si="98"/>
        <v>45008</v>
      </c>
      <c r="AX100" s="51">
        <f t="shared" si="96"/>
        <v>135024</v>
      </c>
      <c r="AY100" s="51">
        <f>SUM(AY97:AY99)</f>
        <v>0</v>
      </c>
      <c r="AZ100" s="51">
        <f t="shared" ref="AZ100:BJ100" si="150">SUM(AZ97:AZ99)</f>
        <v>0</v>
      </c>
      <c r="BA100" s="51">
        <f t="shared" si="150"/>
        <v>0</v>
      </c>
      <c r="BB100" s="51">
        <f t="shared" si="150"/>
        <v>42820</v>
      </c>
      <c r="BC100" s="51">
        <f t="shared" si="150"/>
        <v>1500</v>
      </c>
      <c r="BD100" s="51">
        <f t="shared" si="150"/>
        <v>688</v>
      </c>
      <c r="BE100" s="51">
        <f t="shared" si="150"/>
        <v>0</v>
      </c>
      <c r="BF100" s="51">
        <f t="shared" si="150"/>
        <v>0</v>
      </c>
      <c r="BG100" s="51">
        <f t="shared" si="150"/>
        <v>0</v>
      </c>
      <c r="BH100" s="51">
        <f t="shared" si="150"/>
        <v>0</v>
      </c>
      <c r="BI100" s="51">
        <f t="shared" si="150"/>
        <v>0</v>
      </c>
      <c r="BJ100" s="51">
        <f t="shared" si="150"/>
        <v>0</v>
      </c>
      <c r="BK100" s="51">
        <f t="shared" si="104"/>
        <v>45008</v>
      </c>
      <c r="BL100" s="51">
        <f>SUM(BL97:BL99)</f>
        <v>0</v>
      </c>
      <c r="BM100" s="51">
        <f t="shared" ref="BM100:BW100" si="151">SUM(BM97:BM99)</f>
        <v>0</v>
      </c>
      <c r="BN100" s="51">
        <f t="shared" si="151"/>
        <v>0</v>
      </c>
      <c r="BO100" s="51">
        <f t="shared" si="151"/>
        <v>42820</v>
      </c>
      <c r="BP100" s="51">
        <f t="shared" si="151"/>
        <v>1500</v>
      </c>
      <c r="BQ100" s="51">
        <f t="shared" si="151"/>
        <v>688</v>
      </c>
      <c r="BR100" s="51">
        <f t="shared" si="151"/>
        <v>0</v>
      </c>
      <c r="BS100" s="51">
        <f t="shared" si="151"/>
        <v>0</v>
      </c>
      <c r="BT100" s="51">
        <f t="shared" si="151"/>
        <v>0</v>
      </c>
      <c r="BU100" s="51">
        <f t="shared" si="151"/>
        <v>0</v>
      </c>
      <c r="BV100" s="51">
        <f t="shared" si="151"/>
        <v>0</v>
      </c>
      <c r="BW100" s="51">
        <f t="shared" si="151"/>
        <v>0</v>
      </c>
      <c r="BX100" s="51">
        <f t="shared" si="99"/>
        <v>45008</v>
      </c>
      <c r="BY100" s="51">
        <f>SUM(BY97:BY99)</f>
        <v>0</v>
      </c>
      <c r="BZ100" s="51">
        <f t="shared" ref="BZ100:CJ100" si="152">SUM(BZ97:BZ99)</f>
        <v>0</v>
      </c>
      <c r="CA100" s="51">
        <f t="shared" si="152"/>
        <v>0</v>
      </c>
      <c r="CB100" s="51">
        <f t="shared" si="152"/>
        <v>42820</v>
      </c>
      <c r="CC100" s="51">
        <f t="shared" si="152"/>
        <v>1500</v>
      </c>
      <c r="CD100" s="51">
        <f t="shared" si="152"/>
        <v>688</v>
      </c>
      <c r="CE100" s="51">
        <f t="shared" si="152"/>
        <v>0</v>
      </c>
      <c r="CF100" s="51">
        <f t="shared" si="152"/>
        <v>0</v>
      </c>
      <c r="CG100" s="51">
        <f t="shared" si="152"/>
        <v>0</v>
      </c>
      <c r="CH100" s="51">
        <f t="shared" si="152"/>
        <v>0</v>
      </c>
      <c r="CI100" s="51">
        <f t="shared" si="152"/>
        <v>0</v>
      </c>
      <c r="CJ100" s="51">
        <f t="shared" si="152"/>
        <v>0</v>
      </c>
      <c r="CK100" s="51">
        <f t="shared" si="100"/>
        <v>45008</v>
      </c>
      <c r="CL100" s="51">
        <f t="shared" si="105"/>
        <v>135024</v>
      </c>
      <c r="CM100" s="51">
        <f>SUM(CM97:CM99)</f>
        <v>0</v>
      </c>
      <c r="CN100" s="51">
        <f t="shared" ref="CN100:CX100" si="153">SUM(CN97:CN99)</f>
        <v>0</v>
      </c>
      <c r="CO100" s="51">
        <f t="shared" si="153"/>
        <v>0</v>
      </c>
      <c r="CP100" s="51">
        <f t="shared" si="153"/>
        <v>44950</v>
      </c>
      <c r="CQ100" s="51">
        <f t="shared" si="153"/>
        <v>1500</v>
      </c>
      <c r="CR100" s="51">
        <f t="shared" si="153"/>
        <v>722</v>
      </c>
      <c r="CS100" s="51">
        <f t="shared" si="153"/>
        <v>0</v>
      </c>
      <c r="CT100" s="51">
        <f t="shared" si="153"/>
        <v>0</v>
      </c>
      <c r="CU100" s="51">
        <f t="shared" si="153"/>
        <v>0</v>
      </c>
      <c r="CV100" s="51">
        <f t="shared" si="153"/>
        <v>0</v>
      </c>
      <c r="CW100" s="51">
        <f t="shared" si="153"/>
        <v>0</v>
      </c>
      <c r="CX100" s="51">
        <f t="shared" si="153"/>
        <v>0</v>
      </c>
      <c r="CY100" s="51">
        <f t="shared" si="106"/>
        <v>47172</v>
      </c>
      <c r="CZ100" s="51">
        <f>SUM(CZ97:CZ99)</f>
        <v>0</v>
      </c>
      <c r="DA100" s="51">
        <f t="shared" ref="DA100:DK100" si="154">SUM(DA97:DA99)</f>
        <v>0</v>
      </c>
      <c r="DB100" s="51">
        <f t="shared" si="154"/>
        <v>0</v>
      </c>
      <c r="DC100" s="51">
        <f t="shared" si="154"/>
        <v>57730</v>
      </c>
      <c r="DD100" s="51">
        <f t="shared" si="154"/>
        <v>1502.6</v>
      </c>
      <c r="DE100" s="51">
        <f t="shared" si="154"/>
        <v>926</v>
      </c>
      <c r="DF100" s="51">
        <f t="shared" si="154"/>
        <v>0</v>
      </c>
      <c r="DG100" s="51">
        <f t="shared" si="154"/>
        <v>0</v>
      </c>
      <c r="DH100" s="51">
        <f t="shared" si="154"/>
        <v>0</v>
      </c>
      <c r="DI100" s="51">
        <f t="shared" si="154"/>
        <v>0</v>
      </c>
      <c r="DJ100" s="51">
        <f t="shared" si="154"/>
        <v>0</v>
      </c>
      <c r="DK100" s="51">
        <f t="shared" si="154"/>
        <v>0</v>
      </c>
      <c r="DL100" s="51">
        <f t="shared" si="101"/>
        <v>60158.6</v>
      </c>
      <c r="DM100" s="51">
        <f>SUM(DM97:DM99)</f>
        <v>0</v>
      </c>
      <c r="DN100" s="51">
        <f t="shared" ref="DN100:DX100" si="155">SUM(DN97:DN99)</f>
        <v>0</v>
      </c>
      <c r="DO100" s="51">
        <f t="shared" si="155"/>
        <v>0</v>
      </c>
      <c r="DP100" s="51">
        <f t="shared" si="155"/>
        <v>44950</v>
      </c>
      <c r="DQ100" s="51">
        <f t="shared" si="155"/>
        <v>1500</v>
      </c>
      <c r="DR100" s="51">
        <f t="shared" si="155"/>
        <v>722</v>
      </c>
      <c r="DS100" s="51">
        <f t="shared" si="155"/>
        <v>0</v>
      </c>
      <c r="DT100" s="51">
        <f t="shared" si="155"/>
        <v>0</v>
      </c>
      <c r="DU100" s="51">
        <f t="shared" si="155"/>
        <v>0</v>
      </c>
      <c r="DV100" s="51">
        <f t="shared" si="155"/>
        <v>0</v>
      </c>
      <c r="DW100" s="51">
        <f t="shared" si="155"/>
        <v>0</v>
      </c>
      <c r="DX100" s="51">
        <f t="shared" si="155"/>
        <v>0</v>
      </c>
      <c r="DY100" s="51">
        <f t="shared" si="107"/>
        <v>47172</v>
      </c>
      <c r="DZ100" s="51">
        <f t="shared" si="108"/>
        <v>154502.6</v>
      </c>
      <c r="EA100" s="51">
        <f>SUM(EA97:EA99)</f>
        <v>0</v>
      </c>
      <c r="EB100" s="51">
        <f t="shared" ref="EB100:EL100" si="156">SUM(EB97:EB99)</f>
        <v>0</v>
      </c>
      <c r="EC100" s="51">
        <f t="shared" si="156"/>
        <v>0</v>
      </c>
      <c r="ED100" s="51">
        <f t="shared" si="156"/>
        <v>44950</v>
      </c>
      <c r="EE100" s="51">
        <f t="shared" si="156"/>
        <v>1500</v>
      </c>
      <c r="EF100" s="51">
        <f t="shared" si="156"/>
        <v>722</v>
      </c>
      <c r="EG100" s="51">
        <f t="shared" si="156"/>
        <v>0</v>
      </c>
      <c r="EH100" s="51">
        <f t="shared" si="156"/>
        <v>0</v>
      </c>
      <c r="EI100" s="51">
        <f t="shared" si="156"/>
        <v>0</v>
      </c>
      <c r="EJ100" s="51">
        <f t="shared" si="156"/>
        <v>0</v>
      </c>
      <c r="EK100" s="51">
        <f t="shared" si="156"/>
        <v>0</v>
      </c>
      <c r="EL100" s="51">
        <f t="shared" si="156"/>
        <v>0</v>
      </c>
      <c r="EM100" s="51">
        <f t="shared" si="109"/>
        <v>47172</v>
      </c>
      <c r="EN100" s="51">
        <f>SUM(EN97:EN99)</f>
        <v>0</v>
      </c>
      <c r="EO100" s="51">
        <f t="shared" ref="EO100:EY100" si="157">SUM(EO97:EO99)</f>
        <v>0</v>
      </c>
      <c r="EP100" s="51">
        <f t="shared" si="157"/>
        <v>0</v>
      </c>
      <c r="EQ100" s="51">
        <f t="shared" si="157"/>
        <v>44950</v>
      </c>
      <c r="ER100" s="51">
        <f t="shared" si="157"/>
        <v>1500</v>
      </c>
      <c r="ES100" s="51">
        <f t="shared" si="157"/>
        <v>722</v>
      </c>
      <c r="ET100" s="51">
        <f t="shared" si="157"/>
        <v>0</v>
      </c>
      <c r="EU100" s="51">
        <f t="shared" si="157"/>
        <v>0</v>
      </c>
      <c r="EV100" s="51">
        <f t="shared" si="157"/>
        <v>0</v>
      </c>
      <c r="EW100" s="51">
        <f t="shared" si="157"/>
        <v>0</v>
      </c>
      <c r="EX100" s="51">
        <f t="shared" si="157"/>
        <v>0</v>
      </c>
      <c r="EY100" s="51">
        <f t="shared" si="157"/>
        <v>0</v>
      </c>
      <c r="EZ100" s="51">
        <f t="shared" si="102"/>
        <v>47172</v>
      </c>
      <c r="FA100" s="51">
        <f>SUM(FA97:FA99)</f>
        <v>0</v>
      </c>
      <c r="FB100" s="51">
        <f t="shared" ref="FB100:FL100" si="158">SUM(FB97:FB99)</f>
        <v>0</v>
      </c>
      <c r="FC100" s="51">
        <f t="shared" si="158"/>
        <v>0</v>
      </c>
      <c r="FD100" s="51">
        <f t="shared" si="158"/>
        <v>44950</v>
      </c>
      <c r="FE100" s="51">
        <f t="shared" si="158"/>
        <v>1500</v>
      </c>
      <c r="FF100" s="51">
        <f t="shared" si="158"/>
        <v>722</v>
      </c>
      <c r="FG100" s="51">
        <f t="shared" si="158"/>
        <v>0</v>
      </c>
      <c r="FH100" s="51">
        <f t="shared" si="158"/>
        <v>0</v>
      </c>
      <c r="FI100" s="51">
        <f t="shared" si="158"/>
        <v>0</v>
      </c>
      <c r="FJ100" s="51">
        <f t="shared" si="158"/>
        <v>0</v>
      </c>
      <c r="FK100" s="51">
        <f t="shared" si="158"/>
        <v>0</v>
      </c>
      <c r="FL100" s="51">
        <f t="shared" si="158"/>
        <v>0</v>
      </c>
      <c r="FM100" s="51">
        <f t="shared" si="110"/>
        <v>47172</v>
      </c>
      <c r="FN100" s="51">
        <f t="shared" si="111"/>
        <v>141516</v>
      </c>
      <c r="FO100" s="35">
        <f t="shared" si="112"/>
        <v>566066.6</v>
      </c>
    </row>
    <row r="101" spans="1:171" x14ac:dyDescent="0.35">
      <c r="A101" s="34" t="s">
        <v>4</v>
      </c>
      <c r="B101" s="40" t="s">
        <v>104</v>
      </c>
      <c r="C101" s="58"/>
      <c r="D101" s="41"/>
      <c r="E101" s="58"/>
      <c r="F101" s="58"/>
      <c r="G101" s="58"/>
      <c r="H101" s="58"/>
      <c r="I101" s="58"/>
      <c r="J101" s="58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>
        <f t="shared" si="103"/>
        <v>0</v>
      </c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>
        <f t="shared" si="97"/>
        <v>0</v>
      </c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>
        <f t="shared" si="98"/>
        <v>0</v>
      </c>
      <c r="AX101" s="35">
        <f t="shared" si="96"/>
        <v>0</v>
      </c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>
        <f t="shared" si="104"/>
        <v>0</v>
      </c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>
        <f t="shared" si="99"/>
        <v>0</v>
      </c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>
        <f t="shared" si="100"/>
        <v>0</v>
      </c>
      <c r="CL101" s="35">
        <f t="shared" si="105"/>
        <v>0</v>
      </c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>
        <f t="shared" si="106"/>
        <v>0</v>
      </c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>
        <f t="shared" si="101"/>
        <v>0</v>
      </c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>
        <f t="shared" si="107"/>
        <v>0</v>
      </c>
      <c r="DZ101" s="35">
        <f t="shared" si="108"/>
        <v>0</v>
      </c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>
        <f t="shared" si="109"/>
        <v>0</v>
      </c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>
        <f t="shared" si="102"/>
        <v>0</v>
      </c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>
        <f t="shared" si="110"/>
        <v>0</v>
      </c>
      <c r="FN101" s="35">
        <f t="shared" si="111"/>
        <v>0</v>
      </c>
      <c r="FO101" s="35">
        <f t="shared" si="112"/>
        <v>0</v>
      </c>
    </row>
    <row r="102" spans="1:171" x14ac:dyDescent="0.35">
      <c r="A102" s="34"/>
      <c r="B102" s="40"/>
      <c r="C102" s="58"/>
      <c r="D102" s="79" t="s">
        <v>189</v>
      </c>
      <c r="E102" s="58" t="s">
        <v>8</v>
      </c>
      <c r="F102" s="58" t="s">
        <v>18</v>
      </c>
      <c r="G102" s="58"/>
      <c r="H102" s="58"/>
      <c r="I102" s="58"/>
      <c r="J102" s="58"/>
      <c r="K102" s="35"/>
      <c r="L102" s="35"/>
      <c r="M102" s="35"/>
      <c r="N102" s="35"/>
      <c r="O102" s="35"/>
      <c r="P102" s="35"/>
      <c r="Q102" s="35">
        <v>33200</v>
      </c>
      <c r="R102" s="35">
        <v>750</v>
      </c>
      <c r="S102" s="35">
        <v>0</v>
      </c>
      <c r="T102" s="35"/>
      <c r="U102" s="35"/>
      <c r="V102" s="35"/>
      <c r="W102" s="35">
        <f t="shared" si="103"/>
        <v>33950</v>
      </c>
      <c r="X102" s="35"/>
      <c r="Y102" s="35"/>
      <c r="Z102" s="35"/>
      <c r="AA102" s="35"/>
      <c r="AB102" s="35"/>
      <c r="AC102" s="35"/>
      <c r="AD102" s="35">
        <v>33200</v>
      </c>
      <c r="AE102" s="35">
        <v>750</v>
      </c>
      <c r="AF102" s="35">
        <v>0</v>
      </c>
      <c r="AG102" s="35"/>
      <c r="AH102" s="35"/>
      <c r="AI102" s="35"/>
      <c r="AJ102" s="35">
        <f t="shared" si="97"/>
        <v>33950</v>
      </c>
      <c r="AK102" s="35"/>
      <c r="AL102" s="35"/>
      <c r="AM102" s="35"/>
      <c r="AN102" s="35"/>
      <c r="AO102" s="35"/>
      <c r="AP102" s="35"/>
      <c r="AQ102" s="35">
        <v>33200</v>
      </c>
      <c r="AR102" s="35">
        <v>750</v>
      </c>
      <c r="AS102" s="35">
        <v>0</v>
      </c>
      <c r="AT102" s="35"/>
      <c r="AU102" s="35"/>
      <c r="AV102" s="35"/>
      <c r="AW102" s="35">
        <f t="shared" si="98"/>
        <v>33950</v>
      </c>
      <c r="AX102" s="35">
        <f t="shared" si="96"/>
        <v>101850</v>
      </c>
      <c r="AY102" s="35"/>
      <c r="AZ102" s="35"/>
      <c r="BA102" s="35"/>
      <c r="BB102" s="35"/>
      <c r="BC102" s="35"/>
      <c r="BD102" s="35"/>
      <c r="BE102" s="35">
        <v>33200</v>
      </c>
      <c r="BF102" s="35">
        <v>750</v>
      </c>
      <c r="BG102" s="35">
        <v>0</v>
      </c>
      <c r="BH102" s="35"/>
      <c r="BI102" s="35"/>
      <c r="BJ102" s="35"/>
      <c r="BK102" s="35">
        <f t="shared" si="104"/>
        <v>33950</v>
      </c>
      <c r="BL102" s="35"/>
      <c r="BM102" s="35"/>
      <c r="BN102" s="35"/>
      <c r="BO102" s="35"/>
      <c r="BP102" s="35"/>
      <c r="BQ102" s="35"/>
      <c r="BR102" s="35">
        <v>33200</v>
      </c>
      <c r="BS102" s="35">
        <v>750</v>
      </c>
      <c r="BT102" s="35">
        <v>0</v>
      </c>
      <c r="BU102" s="35"/>
      <c r="BV102" s="35"/>
      <c r="BW102" s="35"/>
      <c r="BX102" s="35">
        <f t="shared" si="99"/>
        <v>33950</v>
      </c>
      <c r="BY102" s="35"/>
      <c r="BZ102" s="35"/>
      <c r="CA102" s="35"/>
      <c r="CB102" s="35"/>
      <c r="CC102" s="35"/>
      <c r="CD102" s="35"/>
      <c r="CE102" s="35">
        <v>33200</v>
      </c>
      <c r="CF102" s="35">
        <v>750</v>
      </c>
      <c r="CG102" s="35">
        <v>0</v>
      </c>
      <c r="CH102" s="35"/>
      <c r="CI102" s="35"/>
      <c r="CJ102" s="35"/>
      <c r="CK102" s="35">
        <f t="shared" si="100"/>
        <v>33950</v>
      </c>
      <c r="CL102" s="35">
        <f t="shared" si="105"/>
        <v>101850</v>
      </c>
      <c r="CM102" s="35"/>
      <c r="CN102" s="35"/>
      <c r="CO102" s="35"/>
      <c r="CP102" s="35"/>
      <c r="CQ102" s="35"/>
      <c r="CR102" s="35"/>
      <c r="CS102" s="35">
        <v>34850</v>
      </c>
      <c r="CT102" s="35">
        <v>750</v>
      </c>
      <c r="CU102" s="35">
        <v>0</v>
      </c>
      <c r="CV102" s="35"/>
      <c r="CW102" s="35"/>
      <c r="CX102" s="35"/>
      <c r="CY102" s="35">
        <f t="shared" si="106"/>
        <v>35600</v>
      </c>
      <c r="CZ102" s="35"/>
      <c r="DA102" s="35"/>
      <c r="DB102" s="35"/>
      <c r="DC102" s="35"/>
      <c r="DD102" s="35"/>
      <c r="DE102" s="35"/>
      <c r="DF102" s="35">
        <f>9900+34850</f>
        <v>44750</v>
      </c>
      <c r="DG102" s="35">
        <v>750</v>
      </c>
      <c r="DH102" s="35">
        <v>0</v>
      </c>
      <c r="DI102" s="35"/>
      <c r="DJ102" s="35"/>
      <c r="DK102" s="35"/>
      <c r="DL102" s="35">
        <f t="shared" si="101"/>
        <v>45500</v>
      </c>
      <c r="DM102" s="35"/>
      <c r="DN102" s="35"/>
      <c r="DO102" s="35"/>
      <c r="DP102" s="35"/>
      <c r="DQ102" s="35"/>
      <c r="DR102" s="35"/>
      <c r="DS102" s="35">
        <v>34850</v>
      </c>
      <c r="DT102" s="35">
        <v>750</v>
      </c>
      <c r="DU102" s="35">
        <v>0</v>
      </c>
      <c r="DV102" s="35"/>
      <c r="DW102" s="35"/>
      <c r="DX102" s="35"/>
      <c r="DY102" s="35">
        <f t="shared" si="107"/>
        <v>35600</v>
      </c>
      <c r="DZ102" s="35">
        <f t="shared" si="108"/>
        <v>116700</v>
      </c>
      <c r="EA102" s="35"/>
      <c r="EB102" s="35"/>
      <c r="EC102" s="35"/>
      <c r="ED102" s="35"/>
      <c r="EE102" s="35"/>
      <c r="EF102" s="35"/>
      <c r="EG102" s="35">
        <v>34850</v>
      </c>
      <c r="EH102" s="35">
        <v>750</v>
      </c>
      <c r="EI102" s="35">
        <v>0</v>
      </c>
      <c r="EJ102" s="35"/>
      <c r="EK102" s="35"/>
      <c r="EL102" s="35"/>
      <c r="EM102" s="35">
        <f t="shared" si="109"/>
        <v>35600</v>
      </c>
      <c r="EN102" s="35"/>
      <c r="EO102" s="35"/>
      <c r="EP102" s="35"/>
      <c r="EQ102" s="35"/>
      <c r="ER102" s="35"/>
      <c r="ES102" s="35"/>
      <c r="ET102" s="35">
        <v>34850</v>
      </c>
      <c r="EU102" s="35">
        <v>750</v>
      </c>
      <c r="EV102" s="35">
        <v>0</v>
      </c>
      <c r="EW102" s="35"/>
      <c r="EX102" s="35"/>
      <c r="EY102" s="35"/>
      <c r="EZ102" s="35">
        <f t="shared" si="102"/>
        <v>35600</v>
      </c>
      <c r="FA102" s="35"/>
      <c r="FB102" s="35"/>
      <c r="FC102" s="35"/>
      <c r="FD102" s="35"/>
      <c r="FE102" s="35"/>
      <c r="FF102" s="35"/>
      <c r="FG102" s="35">
        <v>34850</v>
      </c>
      <c r="FH102" s="35">
        <v>750</v>
      </c>
      <c r="FI102" s="35">
        <v>0</v>
      </c>
      <c r="FJ102" s="35"/>
      <c r="FK102" s="35"/>
      <c r="FL102" s="35"/>
      <c r="FM102" s="35">
        <f t="shared" si="110"/>
        <v>35600</v>
      </c>
      <c r="FN102" s="35">
        <f t="shared" si="111"/>
        <v>106800</v>
      </c>
      <c r="FO102" s="35">
        <f t="shared" si="112"/>
        <v>427200</v>
      </c>
    </row>
    <row r="103" spans="1:171" x14ac:dyDescent="0.35">
      <c r="A103" s="34"/>
      <c r="B103" s="40"/>
      <c r="C103" s="58"/>
      <c r="D103" s="79" t="s">
        <v>190</v>
      </c>
      <c r="E103" s="58" t="s">
        <v>8</v>
      </c>
      <c r="F103" s="58" t="s">
        <v>18</v>
      </c>
      <c r="G103" s="58"/>
      <c r="H103" s="58"/>
      <c r="I103" s="58"/>
      <c r="J103" s="58"/>
      <c r="K103" s="35"/>
      <c r="L103" s="35"/>
      <c r="M103" s="35"/>
      <c r="N103" s="35"/>
      <c r="O103" s="35"/>
      <c r="P103" s="35"/>
      <c r="Q103" s="35">
        <v>33170</v>
      </c>
      <c r="R103" s="35">
        <v>750</v>
      </c>
      <c r="S103" s="35">
        <v>995</v>
      </c>
      <c r="T103" s="35"/>
      <c r="U103" s="35"/>
      <c r="V103" s="35"/>
      <c r="W103" s="35">
        <f t="shared" si="103"/>
        <v>34915</v>
      </c>
      <c r="X103" s="35"/>
      <c r="Y103" s="35"/>
      <c r="Z103" s="35"/>
      <c r="AA103" s="35"/>
      <c r="AB103" s="35"/>
      <c r="AC103" s="35"/>
      <c r="AD103" s="35">
        <v>33170</v>
      </c>
      <c r="AE103" s="35">
        <v>750</v>
      </c>
      <c r="AF103" s="35">
        <v>995</v>
      </c>
      <c r="AG103" s="35"/>
      <c r="AH103" s="35"/>
      <c r="AI103" s="35"/>
      <c r="AJ103" s="35">
        <f t="shared" si="97"/>
        <v>34915</v>
      </c>
      <c r="AK103" s="35"/>
      <c r="AL103" s="35"/>
      <c r="AM103" s="35"/>
      <c r="AN103" s="35"/>
      <c r="AO103" s="35"/>
      <c r="AP103" s="35"/>
      <c r="AQ103" s="35">
        <v>33170</v>
      </c>
      <c r="AR103" s="35">
        <v>750</v>
      </c>
      <c r="AS103" s="35">
        <v>995</v>
      </c>
      <c r="AT103" s="35"/>
      <c r="AU103" s="35"/>
      <c r="AV103" s="35"/>
      <c r="AW103" s="35">
        <f t="shared" si="98"/>
        <v>34915</v>
      </c>
      <c r="AX103" s="35">
        <f t="shared" si="96"/>
        <v>104745</v>
      </c>
      <c r="AY103" s="35"/>
      <c r="AZ103" s="35"/>
      <c r="BA103" s="35"/>
      <c r="BB103" s="35"/>
      <c r="BC103" s="35"/>
      <c r="BD103" s="35"/>
      <c r="BE103" s="35">
        <v>33170</v>
      </c>
      <c r="BF103" s="35">
        <v>750</v>
      </c>
      <c r="BG103" s="35">
        <v>995</v>
      </c>
      <c r="BH103" s="35"/>
      <c r="BI103" s="35"/>
      <c r="BJ103" s="35"/>
      <c r="BK103" s="35">
        <f t="shared" si="104"/>
        <v>34915</v>
      </c>
      <c r="BL103" s="35"/>
      <c r="BM103" s="35"/>
      <c r="BN103" s="35"/>
      <c r="BO103" s="35"/>
      <c r="BP103" s="35"/>
      <c r="BQ103" s="35"/>
      <c r="BR103" s="35">
        <v>33170</v>
      </c>
      <c r="BS103" s="35">
        <v>750</v>
      </c>
      <c r="BT103" s="35">
        <v>995</v>
      </c>
      <c r="BU103" s="35"/>
      <c r="BV103" s="35"/>
      <c r="BW103" s="35"/>
      <c r="BX103" s="35">
        <f t="shared" si="99"/>
        <v>34915</v>
      </c>
      <c r="BY103" s="35"/>
      <c r="BZ103" s="35"/>
      <c r="CA103" s="35"/>
      <c r="CB103" s="35"/>
      <c r="CC103" s="35"/>
      <c r="CD103" s="35"/>
      <c r="CE103" s="35">
        <v>33170</v>
      </c>
      <c r="CF103" s="35">
        <v>750</v>
      </c>
      <c r="CG103" s="35">
        <v>995</v>
      </c>
      <c r="CH103" s="35"/>
      <c r="CI103" s="35"/>
      <c r="CJ103" s="35"/>
      <c r="CK103" s="35">
        <f t="shared" si="100"/>
        <v>34915</v>
      </c>
      <c r="CL103" s="35">
        <f t="shared" si="105"/>
        <v>104745</v>
      </c>
      <c r="CM103" s="35"/>
      <c r="CN103" s="35"/>
      <c r="CO103" s="35"/>
      <c r="CP103" s="35"/>
      <c r="CQ103" s="35"/>
      <c r="CR103" s="35"/>
      <c r="CS103" s="35">
        <v>34830</v>
      </c>
      <c r="CT103" s="35">
        <v>750</v>
      </c>
      <c r="CU103" s="35">
        <v>1045</v>
      </c>
      <c r="CV103" s="35"/>
      <c r="CW103" s="35"/>
      <c r="CX103" s="35"/>
      <c r="CY103" s="35">
        <f t="shared" si="106"/>
        <v>36625</v>
      </c>
      <c r="CZ103" s="35"/>
      <c r="DA103" s="35"/>
      <c r="DB103" s="35"/>
      <c r="DC103" s="35"/>
      <c r="DD103" s="35"/>
      <c r="DE103" s="35"/>
      <c r="DF103" s="35">
        <f>9960+34830</f>
        <v>44790</v>
      </c>
      <c r="DG103" s="35">
        <v>750</v>
      </c>
      <c r="DH103" s="35">
        <f>300+1045</f>
        <v>1345</v>
      </c>
      <c r="DI103" s="35"/>
      <c r="DJ103" s="35"/>
      <c r="DK103" s="35"/>
      <c r="DL103" s="35">
        <f t="shared" si="101"/>
        <v>46885</v>
      </c>
      <c r="DM103" s="35"/>
      <c r="DN103" s="35"/>
      <c r="DO103" s="35"/>
      <c r="DP103" s="35"/>
      <c r="DQ103" s="35"/>
      <c r="DR103" s="35"/>
      <c r="DS103" s="35">
        <v>34830</v>
      </c>
      <c r="DT103" s="35">
        <v>750</v>
      </c>
      <c r="DU103" s="35">
        <v>1045</v>
      </c>
      <c r="DV103" s="35"/>
      <c r="DW103" s="35"/>
      <c r="DX103" s="35"/>
      <c r="DY103" s="35">
        <f t="shared" si="107"/>
        <v>36625</v>
      </c>
      <c r="DZ103" s="35">
        <f t="shared" si="108"/>
        <v>120135</v>
      </c>
      <c r="EA103" s="35"/>
      <c r="EB103" s="35"/>
      <c r="EC103" s="35"/>
      <c r="ED103" s="35"/>
      <c r="EE103" s="35"/>
      <c r="EF103" s="35"/>
      <c r="EG103" s="35">
        <v>34830</v>
      </c>
      <c r="EH103" s="35">
        <v>750</v>
      </c>
      <c r="EI103" s="35">
        <v>1045</v>
      </c>
      <c r="EJ103" s="35"/>
      <c r="EK103" s="35"/>
      <c r="EL103" s="35"/>
      <c r="EM103" s="35">
        <f t="shared" si="109"/>
        <v>36625</v>
      </c>
      <c r="EN103" s="35"/>
      <c r="EO103" s="35"/>
      <c r="EP103" s="35"/>
      <c r="EQ103" s="35"/>
      <c r="ER103" s="35"/>
      <c r="ES103" s="35"/>
      <c r="ET103" s="35">
        <v>34830</v>
      </c>
      <c r="EU103" s="35">
        <v>750</v>
      </c>
      <c r="EV103" s="35">
        <v>1045</v>
      </c>
      <c r="EW103" s="35"/>
      <c r="EX103" s="35"/>
      <c r="EY103" s="35"/>
      <c r="EZ103" s="35">
        <f t="shared" si="102"/>
        <v>36625</v>
      </c>
      <c r="FA103" s="35"/>
      <c r="FB103" s="35"/>
      <c r="FC103" s="35"/>
      <c r="FD103" s="35"/>
      <c r="FE103" s="35"/>
      <c r="FF103" s="35"/>
      <c r="FG103" s="35">
        <v>34830</v>
      </c>
      <c r="FH103" s="35">
        <v>750</v>
      </c>
      <c r="FI103" s="35">
        <v>1045</v>
      </c>
      <c r="FJ103" s="35"/>
      <c r="FK103" s="35"/>
      <c r="FL103" s="35"/>
      <c r="FM103" s="35">
        <f t="shared" si="110"/>
        <v>36625</v>
      </c>
      <c r="FN103" s="35">
        <f t="shared" si="111"/>
        <v>109875</v>
      </c>
      <c r="FO103" s="35">
        <f t="shared" si="112"/>
        <v>439500</v>
      </c>
    </row>
    <row r="104" spans="1:171" x14ac:dyDescent="0.35">
      <c r="A104" s="34"/>
      <c r="B104" s="40"/>
      <c r="C104" s="58"/>
      <c r="D104" s="79" t="s">
        <v>191</v>
      </c>
      <c r="E104" s="58" t="s">
        <v>9</v>
      </c>
      <c r="F104" s="58" t="s">
        <v>18</v>
      </c>
      <c r="G104" s="58"/>
      <c r="H104" s="58"/>
      <c r="I104" s="58"/>
      <c r="J104" s="58"/>
      <c r="K104" s="35"/>
      <c r="L104" s="35"/>
      <c r="M104" s="35"/>
      <c r="N104" s="35"/>
      <c r="O104" s="35"/>
      <c r="P104" s="35"/>
      <c r="Q104" s="35"/>
      <c r="R104" s="35"/>
      <c r="S104" s="35"/>
      <c r="T104" s="35">
        <v>23920</v>
      </c>
      <c r="U104" s="35">
        <v>750</v>
      </c>
      <c r="V104" s="35">
        <v>0</v>
      </c>
      <c r="W104" s="35">
        <f t="shared" si="103"/>
        <v>24670</v>
      </c>
      <c r="X104" s="35"/>
      <c r="Y104" s="35"/>
      <c r="Z104" s="35"/>
      <c r="AA104" s="35"/>
      <c r="AB104" s="35"/>
      <c r="AC104" s="35"/>
      <c r="AD104" s="35"/>
      <c r="AE104" s="35"/>
      <c r="AF104" s="35"/>
      <c r="AG104" s="35">
        <v>23920</v>
      </c>
      <c r="AH104" s="35">
        <v>750</v>
      </c>
      <c r="AI104" s="35">
        <v>0</v>
      </c>
      <c r="AJ104" s="35">
        <f t="shared" si="97"/>
        <v>24670</v>
      </c>
      <c r="AK104" s="35"/>
      <c r="AL104" s="35"/>
      <c r="AM104" s="35"/>
      <c r="AN104" s="35"/>
      <c r="AO104" s="35"/>
      <c r="AP104" s="35"/>
      <c r="AQ104" s="35"/>
      <c r="AR104" s="35"/>
      <c r="AS104" s="35"/>
      <c r="AT104" s="35">
        <v>23920</v>
      </c>
      <c r="AU104" s="35">
        <v>750</v>
      </c>
      <c r="AV104" s="35">
        <v>0</v>
      </c>
      <c r="AW104" s="35">
        <f t="shared" si="98"/>
        <v>24670</v>
      </c>
      <c r="AX104" s="35">
        <f t="shared" si="96"/>
        <v>74010</v>
      </c>
      <c r="AY104" s="35"/>
      <c r="AZ104" s="35"/>
      <c r="BA104" s="35"/>
      <c r="BB104" s="35"/>
      <c r="BC104" s="35"/>
      <c r="BD104" s="35"/>
      <c r="BE104" s="35"/>
      <c r="BF104" s="35"/>
      <c r="BG104" s="35"/>
      <c r="BH104" s="35">
        <v>23920</v>
      </c>
      <c r="BI104" s="35">
        <v>750</v>
      </c>
      <c r="BJ104" s="35">
        <v>0</v>
      </c>
      <c r="BK104" s="35">
        <f t="shared" si="104"/>
        <v>24670</v>
      </c>
      <c r="BL104" s="35"/>
      <c r="BM104" s="35"/>
      <c r="BN104" s="35"/>
      <c r="BO104" s="35"/>
      <c r="BP104" s="35"/>
      <c r="BQ104" s="35"/>
      <c r="BR104" s="35"/>
      <c r="BS104" s="35"/>
      <c r="BT104" s="35"/>
      <c r="BU104" s="35">
        <v>23920</v>
      </c>
      <c r="BV104" s="35">
        <v>750</v>
      </c>
      <c r="BW104" s="35">
        <v>0</v>
      </c>
      <c r="BX104" s="35">
        <f t="shared" si="99"/>
        <v>24670</v>
      </c>
      <c r="BY104" s="35"/>
      <c r="BZ104" s="35"/>
      <c r="CA104" s="35"/>
      <c r="CB104" s="35"/>
      <c r="CC104" s="35"/>
      <c r="CD104" s="35"/>
      <c r="CE104" s="35"/>
      <c r="CF104" s="35"/>
      <c r="CG104" s="35"/>
      <c r="CH104" s="35">
        <v>23920</v>
      </c>
      <c r="CI104" s="35">
        <v>750</v>
      </c>
      <c r="CJ104" s="35">
        <v>0</v>
      </c>
      <c r="CK104" s="35">
        <f t="shared" si="100"/>
        <v>24670</v>
      </c>
      <c r="CL104" s="35">
        <f t="shared" si="105"/>
        <v>74010</v>
      </c>
      <c r="CM104" s="35"/>
      <c r="CN104" s="35"/>
      <c r="CO104" s="35"/>
      <c r="CP104" s="35"/>
      <c r="CQ104" s="35"/>
      <c r="CR104" s="35"/>
      <c r="CS104" s="35"/>
      <c r="CT104" s="35"/>
      <c r="CU104" s="35"/>
      <c r="CV104" s="35">
        <v>25120</v>
      </c>
      <c r="CW104" s="35">
        <v>750</v>
      </c>
      <c r="CX104" s="35">
        <v>0</v>
      </c>
      <c r="CY104" s="35">
        <f t="shared" si="106"/>
        <v>25870</v>
      </c>
      <c r="CZ104" s="35"/>
      <c r="DA104" s="35"/>
      <c r="DB104" s="35"/>
      <c r="DC104" s="35"/>
      <c r="DD104" s="35"/>
      <c r="DE104" s="35"/>
      <c r="DF104" s="35"/>
      <c r="DG104" s="35"/>
      <c r="DH104" s="35"/>
      <c r="DI104" s="35">
        <f>7200+25120</f>
        <v>32320</v>
      </c>
      <c r="DJ104" s="35">
        <v>750</v>
      </c>
      <c r="DK104" s="35">
        <v>0</v>
      </c>
      <c r="DL104" s="35">
        <f t="shared" si="101"/>
        <v>33070</v>
      </c>
      <c r="DM104" s="35"/>
      <c r="DN104" s="35"/>
      <c r="DO104" s="35"/>
      <c r="DP104" s="35"/>
      <c r="DQ104" s="35"/>
      <c r="DR104" s="35"/>
      <c r="DS104" s="35"/>
      <c r="DT104" s="35"/>
      <c r="DU104" s="35"/>
      <c r="DV104" s="35">
        <v>25120</v>
      </c>
      <c r="DW104" s="35">
        <v>750</v>
      </c>
      <c r="DX104" s="35">
        <v>0</v>
      </c>
      <c r="DY104" s="35">
        <f t="shared" si="107"/>
        <v>25870</v>
      </c>
      <c r="DZ104" s="35">
        <f t="shared" si="108"/>
        <v>84810</v>
      </c>
      <c r="EA104" s="35"/>
      <c r="EB104" s="35"/>
      <c r="EC104" s="35"/>
      <c r="ED104" s="35"/>
      <c r="EE104" s="35"/>
      <c r="EF104" s="35"/>
      <c r="EG104" s="35"/>
      <c r="EH104" s="35"/>
      <c r="EI104" s="35"/>
      <c r="EJ104" s="35">
        <v>25120</v>
      </c>
      <c r="EK104" s="35">
        <v>750</v>
      </c>
      <c r="EL104" s="35">
        <v>0</v>
      </c>
      <c r="EM104" s="35">
        <f t="shared" si="109"/>
        <v>25870</v>
      </c>
      <c r="EN104" s="35"/>
      <c r="EO104" s="35"/>
      <c r="EP104" s="35"/>
      <c r="EQ104" s="35"/>
      <c r="ER104" s="35"/>
      <c r="ES104" s="35"/>
      <c r="ET104" s="35"/>
      <c r="EU104" s="35"/>
      <c r="EV104" s="35"/>
      <c r="EW104" s="35">
        <v>25120</v>
      </c>
      <c r="EX104" s="35">
        <v>750</v>
      </c>
      <c r="EY104" s="35">
        <v>0</v>
      </c>
      <c r="EZ104" s="35">
        <f t="shared" si="102"/>
        <v>25870</v>
      </c>
      <c r="FA104" s="35"/>
      <c r="FB104" s="35"/>
      <c r="FC104" s="35"/>
      <c r="FD104" s="35"/>
      <c r="FE104" s="35"/>
      <c r="FF104" s="35"/>
      <c r="FG104" s="35"/>
      <c r="FH104" s="35"/>
      <c r="FI104" s="35"/>
      <c r="FJ104" s="35">
        <v>25120</v>
      </c>
      <c r="FK104" s="35">
        <v>750</v>
      </c>
      <c r="FL104" s="35">
        <v>0</v>
      </c>
      <c r="FM104" s="35">
        <f t="shared" si="110"/>
        <v>25870</v>
      </c>
      <c r="FN104" s="35">
        <f t="shared" si="111"/>
        <v>77610</v>
      </c>
      <c r="FO104" s="35">
        <f t="shared" si="112"/>
        <v>310440</v>
      </c>
    </row>
    <row r="105" spans="1:171" x14ac:dyDescent="0.35">
      <c r="A105" s="34"/>
      <c r="B105" s="40"/>
      <c r="C105" s="58"/>
      <c r="D105" s="79" t="s">
        <v>192</v>
      </c>
      <c r="E105" s="58" t="s">
        <v>8</v>
      </c>
      <c r="F105" s="58" t="s">
        <v>18</v>
      </c>
      <c r="G105" s="58"/>
      <c r="H105" s="58"/>
      <c r="I105" s="58"/>
      <c r="J105" s="58"/>
      <c r="K105" s="35"/>
      <c r="L105" s="35"/>
      <c r="M105" s="35"/>
      <c r="N105" s="35"/>
      <c r="O105" s="35"/>
      <c r="P105" s="35"/>
      <c r="Q105" s="35">
        <v>31770</v>
      </c>
      <c r="R105" s="35">
        <v>750</v>
      </c>
      <c r="S105" s="35">
        <v>953</v>
      </c>
      <c r="T105" s="35"/>
      <c r="U105" s="35"/>
      <c r="V105" s="35"/>
      <c r="W105" s="35">
        <f t="shared" si="103"/>
        <v>33473</v>
      </c>
      <c r="X105" s="35"/>
      <c r="Y105" s="35"/>
      <c r="Z105" s="35"/>
      <c r="AA105" s="35"/>
      <c r="AB105" s="35"/>
      <c r="AC105" s="35"/>
      <c r="AD105" s="35">
        <v>31770</v>
      </c>
      <c r="AE105" s="35">
        <v>750</v>
      </c>
      <c r="AF105" s="35">
        <v>953</v>
      </c>
      <c r="AG105" s="35"/>
      <c r="AH105" s="35"/>
      <c r="AI105" s="35"/>
      <c r="AJ105" s="35">
        <f t="shared" si="97"/>
        <v>33473</v>
      </c>
      <c r="AK105" s="35"/>
      <c r="AL105" s="35"/>
      <c r="AM105" s="35"/>
      <c r="AN105" s="35"/>
      <c r="AO105" s="35"/>
      <c r="AP105" s="35"/>
      <c r="AQ105" s="35">
        <v>31770</v>
      </c>
      <c r="AR105" s="35">
        <v>750</v>
      </c>
      <c r="AS105" s="35">
        <v>953</v>
      </c>
      <c r="AT105" s="35"/>
      <c r="AU105" s="35"/>
      <c r="AV105" s="35"/>
      <c r="AW105" s="35">
        <f t="shared" si="98"/>
        <v>33473</v>
      </c>
      <c r="AX105" s="35">
        <f t="shared" si="96"/>
        <v>100419</v>
      </c>
      <c r="AY105" s="35"/>
      <c r="AZ105" s="35"/>
      <c r="BA105" s="35"/>
      <c r="BB105" s="35"/>
      <c r="BC105" s="35"/>
      <c r="BD105" s="35"/>
      <c r="BE105" s="35">
        <v>31770</v>
      </c>
      <c r="BF105" s="35">
        <v>750</v>
      </c>
      <c r="BG105" s="35">
        <v>953</v>
      </c>
      <c r="BH105" s="35"/>
      <c r="BI105" s="35"/>
      <c r="BJ105" s="35"/>
      <c r="BK105" s="35">
        <f t="shared" si="104"/>
        <v>33473</v>
      </c>
      <c r="BL105" s="35"/>
      <c r="BM105" s="35"/>
      <c r="BN105" s="35"/>
      <c r="BO105" s="35"/>
      <c r="BP105" s="35"/>
      <c r="BQ105" s="35"/>
      <c r="BR105" s="35">
        <v>31770</v>
      </c>
      <c r="BS105" s="35">
        <v>750</v>
      </c>
      <c r="BT105" s="35">
        <v>953</v>
      </c>
      <c r="BU105" s="35"/>
      <c r="BV105" s="35"/>
      <c r="BW105" s="35"/>
      <c r="BX105" s="35">
        <f t="shared" si="99"/>
        <v>33473</v>
      </c>
      <c r="BY105" s="35"/>
      <c r="BZ105" s="35"/>
      <c r="CA105" s="35"/>
      <c r="CB105" s="35"/>
      <c r="CC105" s="35"/>
      <c r="CD105" s="35"/>
      <c r="CE105" s="35">
        <v>31770</v>
      </c>
      <c r="CF105" s="35">
        <v>750</v>
      </c>
      <c r="CG105" s="35">
        <v>953</v>
      </c>
      <c r="CH105" s="35"/>
      <c r="CI105" s="35"/>
      <c r="CJ105" s="35"/>
      <c r="CK105" s="35">
        <f t="shared" si="100"/>
        <v>33473</v>
      </c>
      <c r="CL105" s="35">
        <f t="shared" si="105"/>
        <v>100419</v>
      </c>
      <c r="CM105" s="35"/>
      <c r="CN105" s="35"/>
      <c r="CO105" s="35"/>
      <c r="CP105" s="35"/>
      <c r="CQ105" s="35"/>
      <c r="CR105" s="35"/>
      <c r="CS105" s="35">
        <v>33350</v>
      </c>
      <c r="CT105" s="35">
        <v>750</v>
      </c>
      <c r="CU105" s="35">
        <v>1001</v>
      </c>
      <c r="CV105" s="35"/>
      <c r="CW105" s="35"/>
      <c r="CX105" s="35"/>
      <c r="CY105" s="35">
        <f t="shared" si="106"/>
        <v>35101</v>
      </c>
      <c r="CZ105" s="35"/>
      <c r="DA105" s="35"/>
      <c r="DB105" s="35"/>
      <c r="DC105" s="35"/>
      <c r="DD105" s="35"/>
      <c r="DE105" s="35"/>
      <c r="DF105" s="35">
        <f>9480+33350</f>
        <v>42830</v>
      </c>
      <c r="DG105" s="35">
        <v>750</v>
      </c>
      <c r="DH105" s="35">
        <f>282+1001</f>
        <v>1283</v>
      </c>
      <c r="DI105" s="35"/>
      <c r="DJ105" s="35"/>
      <c r="DK105" s="35"/>
      <c r="DL105" s="35">
        <f t="shared" si="101"/>
        <v>44863</v>
      </c>
      <c r="DM105" s="35"/>
      <c r="DN105" s="35"/>
      <c r="DO105" s="35"/>
      <c r="DP105" s="35"/>
      <c r="DQ105" s="35"/>
      <c r="DR105" s="35"/>
      <c r="DS105" s="35">
        <v>33350</v>
      </c>
      <c r="DT105" s="35">
        <v>750</v>
      </c>
      <c r="DU105" s="35">
        <v>1001</v>
      </c>
      <c r="DV105" s="35"/>
      <c r="DW105" s="35"/>
      <c r="DX105" s="35"/>
      <c r="DY105" s="35">
        <f t="shared" si="107"/>
        <v>35101</v>
      </c>
      <c r="DZ105" s="35">
        <f t="shared" si="108"/>
        <v>115065</v>
      </c>
      <c r="EA105" s="35"/>
      <c r="EB105" s="35"/>
      <c r="EC105" s="35"/>
      <c r="ED105" s="35"/>
      <c r="EE105" s="35"/>
      <c r="EF105" s="35"/>
      <c r="EG105" s="35">
        <v>33350</v>
      </c>
      <c r="EH105" s="35">
        <v>750</v>
      </c>
      <c r="EI105" s="35">
        <v>1001</v>
      </c>
      <c r="EJ105" s="35"/>
      <c r="EK105" s="35"/>
      <c r="EL105" s="35"/>
      <c r="EM105" s="35">
        <f t="shared" si="109"/>
        <v>35101</v>
      </c>
      <c r="EN105" s="35"/>
      <c r="EO105" s="35"/>
      <c r="EP105" s="35"/>
      <c r="EQ105" s="35"/>
      <c r="ER105" s="35"/>
      <c r="ES105" s="35"/>
      <c r="ET105" s="35">
        <v>33350</v>
      </c>
      <c r="EU105" s="35">
        <v>750</v>
      </c>
      <c r="EV105" s="35">
        <v>1001</v>
      </c>
      <c r="EW105" s="35"/>
      <c r="EX105" s="35"/>
      <c r="EY105" s="35"/>
      <c r="EZ105" s="35">
        <f t="shared" si="102"/>
        <v>35101</v>
      </c>
      <c r="FA105" s="35"/>
      <c r="FB105" s="35"/>
      <c r="FC105" s="35"/>
      <c r="FD105" s="35"/>
      <c r="FE105" s="35"/>
      <c r="FF105" s="35"/>
      <c r="FG105" s="35">
        <v>33350</v>
      </c>
      <c r="FH105" s="35">
        <v>750</v>
      </c>
      <c r="FI105" s="35">
        <v>1001</v>
      </c>
      <c r="FJ105" s="35"/>
      <c r="FK105" s="35"/>
      <c r="FL105" s="35"/>
      <c r="FM105" s="35">
        <f t="shared" si="110"/>
        <v>35101</v>
      </c>
      <c r="FN105" s="35">
        <f t="shared" si="111"/>
        <v>105303</v>
      </c>
      <c r="FO105" s="35">
        <f t="shared" si="112"/>
        <v>421206</v>
      </c>
    </row>
    <row r="106" spans="1:171" x14ac:dyDescent="0.35">
      <c r="A106" s="34"/>
      <c r="B106" s="40"/>
      <c r="C106" s="58"/>
      <c r="D106" s="79" t="s">
        <v>232</v>
      </c>
      <c r="E106" s="58" t="s">
        <v>8</v>
      </c>
      <c r="F106" s="58" t="s">
        <v>18</v>
      </c>
      <c r="G106" s="58"/>
      <c r="H106" s="58"/>
      <c r="I106" s="58"/>
      <c r="J106" s="58"/>
      <c r="K106" s="35"/>
      <c r="L106" s="35"/>
      <c r="M106" s="35"/>
      <c r="N106" s="35"/>
      <c r="O106" s="35"/>
      <c r="P106" s="35"/>
      <c r="Q106" s="35">
        <v>31860</v>
      </c>
      <c r="R106" s="35">
        <v>750</v>
      </c>
      <c r="S106" s="35">
        <v>956</v>
      </c>
      <c r="T106" s="35"/>
      <c r="U106" s="35"/>
      <c r="V106" s="35"/>
      <c r="W106" s="35">
        <f t="shared" si="103"/>
        <v>33566</v>
      </c>
      <c r="X106" s="35"/>
      <c r="Y106" s="35"/>
      <c r="Z106" s="35"/>
      <c r="AA106" s="35"/>
      <c r="AB106" s="35"/>
      <c r="AC106" s="35"/>
      <c r="AD106" s="35">
        <v>31860</v>
      </c>
      <c r="AE106" s="35">
        <v>750</v>
      </c>
      <c r="AF106" s="35">
        <v>956</v>
      </c>
      <c r="AG106" s="35"/>
      <c r="AH106" s="35"/>
      <c r="AI106" s="35"/>
      <c r="AJ106" s="35">
        <f t="shared" si="97"/>
        <v>33566</v>
      </c>
      <c r="AK106" s="35"/>
      <c r="AL106" s="35"/>
      <c r="AM106" s="35"/>
      <c r="AN106" s="35"/>
      <c r="AO106" s="35"/>
      <c r="AP106" s="35"/>
      <c r="AQ106" s="35">
        <v>31860</v>
      </c>
      <c r="AR106" s="35">
        <v>750</v>
      </c>
      <c r="AS106" s="35">
        <v>956</v>
      </c>
      <c r="AT106" s="35"/>
      <c r="AU106" s="35"/>
      <c r="AV106" s="35"/>
      <c r="AW106" s="35">
        <f t="shared" si="98"/>
        <v>33566</v>
      </c>
      <c r="AX106" s="35">
        <f t="shared" si="96"/>
        <v>100698</v>
      </c>
      <c r="AY106" s="35"/>
      <c r="AZ106" s="35"/>
      <c r="BA106" s="35"/>
      <c r="BB106" s="35"/>
      <c r="BC106" s="35"/>
      <c r="BD106" s="35"/>
      <c r="BE106" s="35">
        <v>31860</v>
      </c>
      <c r="BF106" s="35">
        <v>750</v>
      </c>
      <c r="BG106" s="35">
        <v>956</v>
      </c>
      <c r="BH106" s="35"/>
      <c r="BI106" s="35"/>
      <c r="BJ106" s="35"/>
      <c r="BK106" s="35">
        <f t="shared" si="104"/>
        <v>33566</v>
      </c>
      <c r="BL106" s="35"/>
      <c r="BM106" s="35"/>
      <c r="BN106" s="35"/>
      <c r="BO106" s="35"/>
      <c r="BP106" s="35"/>
      <c r="BQ106" s="35"/>
      <c r="BR106" s="35">
        <v>31860</v>
      </c>
      <c r="BS106" s="35">
        <v>750</v>
      </c>
      <c r="BT106" s="35">
        <v>956</v>
      </c>
      <c r="BU106" s="35"/>
      <c r="BV106" s="35"/>
      <c r="BW106" s="35"/>
      <c r="BX106" s="35">
        <f t="shared" si="99"/>
        <v>33566</v>
      </c>
      <c r="BY106" s="35"/>
      <c r="BZ106" s="35"/>
      <c r="CA106" s="35"/>
      <c r="CB106" s="35"/>
      <c r="CC106" s="35"/>
      <c r="CD106" s="35"/>
      <c r="CE106" s="35">
        <v>31860</v>
      </c>
      <c r="CF106" s="35">
        <v>750</v>
      </c>
      <c r="CG106" s="35">
        <v>956</v>
      </c>
      <c r="CH106" s="35"/>
      <c r="CI106" s="35"/>
      <c r="CJ106" s="35"/>
      <c r="CK106" s="35">
        <f t="shared" si="100"/>
        <v>33566</v>
      </c>
      <c r="CL106" s="35">
        <f t="shared" si="105"/>
        <v>100698</v>
      </c>
      <c r="CM106" s="35"/>
      <c r="CN106" s="35"/>
      <c r="CO106" s="35"/>
      <c r="CP106" s="35"/>
      <c r="CQ106" s="35"/>
      <c r="CR106" s="35"/>
      <c r="CS106" s="35">
        <v>33460</v>
      </c>
      <c r="CT106" s="35">
        <v>750</v>
      </c>
      <c r="CU106" s="35">
        <v>1004</v>
      </c>
      <c r="CV106" s="35"/>
      <c r="CW106" s="35"/>
      <c r="CX106" s="35"/>
      <c r="CY106" s="35">
        <f t="shared" si="106"/>
        <v>35214</v>
      </c>
      <c r="CZ106" s="35"/>
      <c r="DA106" s="35"/>
      <c r="DB106" s="35"/>
      <c r="DC106" s="35"/>
      <c r="DD106" s="35"/>
      <c r="DE106" s="35"/>
      <c r="DF106" s="35">
        <f>9600+33460</f>
        <v>43060</v>
      </c>
      <c r="DG106" s="35">
        <v>750</v>
      </c>
      <c r="DH106" s="35">
        <f>288+1004</f>
        <v>1292</v>
      </c>
      <c r="DI106" s="35"/>
      <c r="DJ106" s="35"/>
      <c r="DK106" s="35"/>
      <c r="DL106" s="35">
        <f t="shared" si="101"/>
        <v>45102</v>
      </c>
      <c r="DM106" s="35"/>
      <c r="DN106" s="35"/>
      <c r="DO106" s="35"/>
      <c r="DP106" s="35"/>
      <c r="DQ106" s="35"/>
      <c r="DR106" s="35"/>
      <c r="DS106" s="35">
        <v>33460</v>
      </c>
      <c r="DT106" s="35">
        <v>750</v>
      </c>
      <c r="DU106" s="35">
        <v>1004</v>
      </c>
      <c r="DV106" s="35"/>
      <c r="DW106" s="35"/>
      <c r="DX106" s="35"/>
      <c r="DY106" s="35">
        <f t="shared" si="107"/>
        <v>35214</v>
      </c>
      <c r="DZ106" s="35">
        <f t="shared" si="108"/>
        <v>115530</v>
      </c>
      <c r="EA106" s="35"/>
      <c r="EB106" s="35"/>
      <c r="EC106" s="35"/>
      <c r="ED106" s="35"/>
      <c r="EE106" s="35"/>
      <c r="EF106" s="35"/>
      <c r="EG106" s="35">
        <v>33460</v>
      </c>
      <c r="EH106" s="35">
        <v>750</v>
      </c>
      <c r="EI106" s="35">
        <v>1004</v>
      </c>
      <c r="EJ106" s="35"/>
      <c r="EK106" s="35"/>
      <c r="EL106" s="35"/>
      <c r="EM106" s="35">
        <f t="shared" si="109"/>
        <v>35214</v>
      </c>
      <c r="EN106" s="35"/>
      <c r="EO106" s="35"/>
      <c r="EP106" s="35"/>
      <c r="EQ106" s="35"/>
      <c r="ER106" s="35"/>
      <c r="ES106" s="35"/>
      <c r="ET106" s="35">
        <v>33460</v>
      </c>
      <c r="EU106" s="35">
        <v>750</v>
      </c>
      <c r="EV106" s="35">
        <v>1004</v>
      </c>
      <c r="EW106" s="35"/>
      <c r="EX106" s="35"/>
      <c r="EY106" s="35"/>
      <c r="EZ106" s="35">
        <f t="shared" si="102"/>
        <v>35214</v>
      </c>
      <c r="FA106" s="35"/>
      <c r="FB106" s="35"/>
      <c r="FC106" s="35"/>
      <c r="FD106" s="35"/>
      <c r="FE106" s="35"/>
      <c r="FF106" s="35"/>
      <c r="FG106" s="35">
        <v>33460</v>
      </c>
      <c r="FH106" s="35">
        <v>750</v>
      </c>
      <c r="FI106" s="35">
        <v>1004</v>
      </c>
      <c r="FJ106" s="35"/>
      <c r="FK106" s="35"/>
      <c r="FL106" s="35"/>
      <c r="FM106" s="35">
        <f t="shared" si="110"/>
        <v>35214</v>
      </c>
      <c r="FN106" s="35">
        <f t="shared" si="111"/>
        <v>105642</v>
      </c>
      <c r="FO106" s="35">
        <f t="shared" si="112"/>
        <v>422568</v>
      </c>
    </row>
    <row r="107" spans="1:171" x14ac:dyDescent="0.35">
      <c r="A107" s="34"/>
      <c r="B107" s="40"/>
      <c r="C107" s="58"/>
      <c r="D107" s="79" t="s">
        <v>193</v>
      </c>
      <c r="E107" s="58" t="s">
        <v>8</v>
      </c>
      <c r="F107" s="58" t="s">
        <v>18</v>
      </c>
      <c r="G107" s="58"/>
      <c r="H107" s="58"/>
      <c r="I107" s="58"/>
      <c r="J107" s="58"/>
      <c r="K107" s="35"/>
      <c r="L107" s="35"/>
      <c r="M107" s="35"/>
      <c r="N107" s="35"/>
      <c r="O107" s="35"/>
      <c r="P107" s="35"/>
      <c r="Q107" s="35">
        <v>36570</v>
      </c>
      <c r="R107" s="35">
        <v>750</v>
      </c>
      <c r="S107" s="35">
        <v>1097</v>
      </c>
      <c r="T107" s="35"/>
      <c r="U107" s="35"/>
      <c r="V107" s="35"/>
      <c r="W107" s="35">
        <f t="shared" si="103"/>
        <v>38417</v>
      </c>
      <c r="X107" s="35"/>
      <c r="Y107" s="35"/>
      <c r="Z107" s="35"/>
      <c r="AA107" s="35"/>
      <c r="AB107" s="35"/>
      <c r="AC107" s="35"/>
      <c r="AD107" s="35">
        <v>36570</v>
      </c>
      <c r="AE107" s="35">
        <v>750</v>
      </c>
      <c r="AF107" s="35">
        <v>1097</v>
      </c>
      <c r="AG107" s="35"/>
      <c r="AH107" s="35"/>
      <c r="AI107" s="35"/>
      <c r="AJ107" s="35">
        <f t="shared" si="97"/>
        <v>38417</v>
      </c>
      <c r="AK107" s="35"/>
      <c r="AL107" s="35"/>
      <c r="AM107" s="35"/>
      <c r="AN107" s="35"/>
      <c r="AO107" s="35"/>
      <c r="AP107" s="35"/>
      <c r="AQ107" s="35">
        <v>36570</v>
      </c>
      <c r="AR107" s="35">
        <v>750</v>
      </c>
      <c r="AS107" s="35">
        <v>1097</v>
      </c>
      <c r="AT107" s="35"/>
      <c r="AU107" s="35"/>
      <c r="AV107" s="35"/>
      <c r="AW107" s="35">
        <f t="shared" si="98"/>
        <v>38417</v>
      </c>
      <c r="AX107" s="35">
        <f t="shared" si="96"/>
        <v>115251</v>
      </c>
      <c r="AY107" s="35"/>
      <c r="AZ107" s="35"/>
      <c r="BA107" s="35"/>
      <c r="BB107" s="35"/>
      <c r="BC107" s="35"/>
      <c r="BD107" s="35"/>
      <c r="BE107" s="35">
        <v>36570</v>
      </c>
      <c r="BF107" s="35">
        <v>750</v>
      </c>
      <c r="BG107" s="35">
        <v>1097</v>
      </c>
      <c r="BH107" s="35"/>
      <c r="BI107" s="35"/>
      <c r="BJ107" s="35"/>
      <c r="BK107" s="35">
        <f t="shared" si="104"/>
        <v>38417</v>
      </c>
      <c r="BL107" s="35"/>
      <c r="BM107" s="35"/>
      <c r="BN107" s="35"/>
      <c r="BO107" s="35"/>
      <c r="BP107" s="35"/>
      <c r="BQ107" s="35"/>
      <c r="BR107" s="35">
        <v>36570</v>
      </c>
      <c r="BS107" s="35">
        <v>750</v>
      </c>
      <c r="BT107" s="35">
        <v>1097</v>
      </c>
      <c r="BU107" s="35"/>
      <c r="BV107" s="35"/>
      <c r="BW107" s="35"/>
      <c r="BX107" s="35">
        <f t="shared" si="99"/>
        <v>38417</v>
      </c>
      <c r="BY107" s="35"/>
      <c r="BZ107" s="35"/>
      <c r="CA107" s="35"/>
      <c r="CB107" s="35"/>
      <c r="CC107" s="35"/>
      <c r="CD107" s="35"/>
      <c r="CE107" s="35">
        <v>36570</v>
      </c>
      <c r="CF107" s="35">
        <v>750</v>
      </c>
      <c r="CG107" s="35">
        <v>1097</v>
      </c>
      <c r="CH107" s="35"/>
      <c r="CI107" s="35"/>
      <c r="CJ107" s="35"/>
      <c r="CK107" s="35">
        <f t="shared" si="100"/>
        <v>38417</v>
      </c>
      <c r="CL107" s="35">
        <f t="shared" si="105"/>
        <v>115251</v>
      </c>
      <c r="CM107" s="35"/>
      <c r="CN107" s="35"/>
      <c r="CO107" s="35"/>
      <c r="CP107" s="35"/>
      <c r="CQ107" s="35"/>
      <c r="CR107" s="35"/>
      <c r="CS107" s="35">
        <v>38400</v>
      </c>
      <c r="CT107" s="35">
        <v>750</v>
      </c>
      <c r="CU107" s="35">
        <v>1152</v>
      </c>
      <c r="CV107" s="35"/>
      <c r="CW107" s="35"/>
      <c r="CX107" s="35"/>
      <c r="CY107" s="35">
        <f t="shared" si="106"/>
        <v>40302</v>
      </c>
      <c r="CZ107" s="35"/>
      <c r="DA107" s="35"/>
      <c r="DB107" s="35"/>
      <c r="DC107" s="35"/>
      <c r="DD107" s="35"/>
      <c r="DE107" s="35"/>
      <c r="DF107" s="35">
        <f>10980+38400</f>
        <v>49380</v>
      </c>
      <c r="DG107" s="35">
        <v>750</v>
      </c>
      <c r="DH107" s="35">
        <f>330+1152</f>
        <v>1482</v>
      </c>
      <c r="DI107" s="35"/>
      <c r="DJ107" s="35"/>
      <c r="DK107" s="35"/>
      <c r="DL107" s="35">
        <f t="shared" si="101"/>
        <v>51612</v>
      </c>
      <c r="DM107" s="35"/>
      <c r="DN107" s="35"/>
      <c r="DO107" s="35"/>
      <c r="DP107" s="35"/>
      <c r="DQ107" s="35"/>
      <c r="DR107" s="35"/>
      <c r="DS107" s="35">
        <v>38400</v>
      </c>
      <c r="DT107" s="35">
        <v>750</v>
      </c>
      <c r="DU107" s="35">
        <v>1152</v>
      </c>
      <c r="DV107" s="35"/>
      <c r="DW107" s="35"/>
      <c r="DX107" s="35"/>
      <c r="DY107" s="35">
        <f t="shared" si="107"/>
        <v>40302</v>
      </c>
      <c r="DZ107" s="35">
        <f t="shared" si="108"/>
        <v>132216</v>
      </c>
      <c r="EA107" s="35"/>
      <c r="EB107" s="35"/>
      <c r="EC107" s="35"/>
      <c r="ED107" s="35"/>
      <c r="EE107" s="35"/>
      <c r="EF107" s="35"/>
      <c r="EG107" s="35">
        <v>38400</v>
      </c>
      <c r="EH107" s="35">
        <v>750</v>
      </c>
      <c r="EI107" s="35">
        <v>1152</v>
      </c>
      <c r="EJ107" s="35"/>
      <c r="EK107" s="35"/>
      <c r="EL107" s="35"/>
      <c r="EM107" s="35">
        <f t="shared" si="109"/>
        <v>40302</v>
      </c>
      <c r="EN107" s="35"/>
      <c r="EO107" s="35"/>
      <c r="EP107" s="35"/>
      <c r="EQ107" s="35"/>
      <c r="ER107" s="35"/>
      <c r="ES107" s="35"/>
      <c r="ET107" s="35">
        <v>38400</v>
      </c>
      <c r="EU107" s="35">
        <v>750</v>
      </c>
      <c r="EV107" s="35">
        <v>1152</v>
      </c>
      <c r="EW107" s="35"/>
      <c r="EX107" s="35"/>
      <c r="EY107" s="35"/>
      <c r="EZ107" s="35">
        <f t="shared" si="102"/>
        <v>40302</v>
      </c>
      <c r="FA107" s="35"/>
      <c r="FB107" s="35"/>
      <c r="FC107" s="35"/>
      <c r="FD107" s="35"/>
      <c r="FE107" s="35"/>
      <c r="FF107" s="35"/>
      <c r="FG107" s="35">
        <v>38400</v>
      </c>
      <c r="FH107" s="35">
        <v>750</v>
      </c>
      <c r="FI107" s="35">
        <v>1152</v>
      </c>
      <c r="FJ107" s="35"/>
      <c r="FK107" s="35"/>
      <c r="FL107" s="35"/>
      <c r="FM107" s="35">
        <f t="shared" si="110"/>
        <v>40302</v>
      </c>
      <c r="FN107" s="35">
        <f t="shared" si="111"/>
        <v>120906</v>
      </c>
      <c r="FO107" s="35">
        <f t="shared" si="112"/>
        <v>483624</v>
      </c>
    </row>
    <row r="108" spans="1:171" x14ac:dyDescent="0.35">
      <c r="A108" s="34"/>
      <c r="B108" s="40"/>
      <c r="C108" s="58"/>
      <c r="D108" s="79" t="s">
        <v>194</v>
      </c>
      <c r="E108" s="58" t="s">
        <v>8</v>
      </c>
      <c r="F108" s="58" t="s">
        <v>18</v>
      </c>
      <c r="G108" s="58"/>
      <c r="H108" s="58"/>
      <c r="I108" s="58"/>
      <c r="J108" s="58"/>
      <c r="K108" s="35"/>
      <c r="L108" s="35"/>
      <c r="M108" s="35"/>
      <c r="N108" s="35"/>
      <c r="O108" s="35"/>
      <c r="P108" s="35"/>
      <c r="Q108" s="35">
        <v>37900</v>
      </c>
      <c r="R108" s="35">
        <v>750</v>
      </c>
      <c r="S108" s="35">
        <v>1137</v>
      </c>
      <c r="T108" s="35"/>
      <c r="U108" s="35"/>
      <c r="V108" s="35"/>
      <c r="W108" s="35">
        <f t="shared" si="103"/>
        <v>39787</v>
      </c>
      <c r="X108" s="35"/>
      <c r="Y108" s="35"/>
      <c r="Z108" s="35"/>
      <c r="AA108" s="35"/>
      <c r="AB108" s="35"/>
      <c r="AC108" s="35"/>
      <c r="AD108" s="35">
        <v>37900</v>
      </c>
      <c r="AE108" s="35">
        <v>750</v>
      </c>
      <c r="AF108" s="35">
        <v>1137</v>
      </c>
      <c r="AG108" s="35"/>
      <c r="AH108" s="35"/>
      <c r="AI108" s="35"/>
      <c r="AJ108" s="35">
        <f t="shared" si="97"/>
        <v>39787</v>
      </c>
      <c r="AK108" s="35"/>
      <c r="AL108" s="35"/>
      <c r="AM108" s="35"/>
      <c r="AN108" s="35"/>
      <c r="AO108" s="35"/>
      <c r="AP108" s="35"/>
      <c r="AQ108" s="35">
        <v>37900</v>
      </c>
      <c r="AR108" s="35">
        <v>750</v>
      </c>
      <c r="AS108" s="35">
        <v>1137</v>
      </c>
      <c r="AT108" s="35"/>
      <c r="AU108" s="35"/>
      <c r="AV108" s="35"/>
      <c r="AW108" s="35">
        <f t="shared" si="98"/>
        <v>39787</v>
      </c>
      <c r="AX108" s="35">
        <f t="shared" si="96"/>
        <v>119361</v>
      </c>
      <c r="AY108" s="35"/>
      <c r="AZ108" s="35"/>
      <c r="BA108" s="35"/>
      <c r="BB108" s="35"/>
      <c r="BC108" s="35"/>
      <c r="BD108" s="35"/>
      <c r="BE108" s="35">
        <v>37900</v>
      </c>
      <c r="BF108" s="35">
        <v>750</v>
      </c>
      <c r="BG108" s="35">
        <v>1137</v>
      </c>
      <c r="BH108" s="35"/>
      <c r="BI108" s="35"/>
      <c r="BJ108" s="35"/>
      <c r="BK108" s="35">
        <f t="shared" si="104"/>
        <v>39787</v>
      </c>
      <c r="BL108" s="35"/>
      <c r="BM108" s="35"/>
      <c r="BN108" s="35"/>
      <c r="BO108" s="35"/>
      <c r="BP108" s="35"/>
      <c r="BQ108" s="35"/>
      <c r="BR108" s="35">
        <v>37900</v>
      </c>
      <c r="BS108" s="35">
        <v>750</v>
      </c>
      <c r="BT108" s="35">
        <v>1137</v>
      </c>
      <c r="BU108" s="35"/>
      <c r="BV108" s="35"/>
      <c r="BW108" s="35"/>
      <c r="BX108" s="35">
        <f t="shared" si="99"/>
        <v>39787</v>
      </c>
      <c r="BY108" s="35"/>
      <c r="BZ108" s="35"/>
      <c r="CA108" s="35"/>
      <c r="CB108" s="35"/>
      <c r="CC108" s="35"/>
      <c r="CD108" s="35"/>
      <c r="CE108" s="35">
        <v>37900</v>
      </c>
      <c r="CF108" s="35">
        <v>750</v>
      </c>
      <c r="CG108" s="35">
        <v>1137</v>
      </c>
      <c r="CH108" s="35"/>
      <c r="CI108" s="35"/>
      <c r="CJ108" s="35"/>
      <c r="CK108" s="35">
        <f t="shared" si="100"/>
        <v>39787</v>
      </c>
      <c r="CL108" s="35">
        <f t="shared" si="105"/>
        <v>119361</v>
      </c>
      <c r="CM108" s="35"/>
      <c r="CN108" s="35"/>
      <c r="CO108" s="35"/>
      <c r="CP108" s="35"/>
      <c r="CQ108" s="35"/>
      <c r="CR108" s="35"/>
      <c r="CS108" s="35">
        <v>39800</v>
      </c>
      <c r="CT108" s="35">
        <v>750</v>
      </c>
      <c r="CU108" s="35">
        <v>1194</v>
      </c>
      <c r="CV108" s="35"/>
      <c r="CW108" s="35"/>
      <c r="CX108" s="35"/>
      <c r="CY108" s="35">
        <f t="shared" si="106"/>
        <v>41744</v>
      </c>
      <c r="CZ108" s="35"/>
      <c r="DA108" s="35"/>
      <c r="DB108" s="35"/>
      <c r="DC108" s="35"/>
      <c r="DD108" s="35"/>
      <c r="DE108" s="35"/>
      <c r="DF108" s="35">
        <f>11400+39800</f>
        <v>51200</v>
      </c>
      <c r="DG108" s="35">
        <v>750</v>
      </c>
      <c r="DH108" s="35">
        <f>342+1194</f>
        <v>1536</v>
      </c>
      <c r="DI108" s="35"/>
      <c r="DJ108" s="35"/>
      <c r="DK108" s="35"/>
      <c r="DL108" s="35">
        <f t="shared" si="101"/>
        <v>53486</v>
      </c>
      <c r="DM108" s="35"/>
      <c r="DN108" s="35"/>
      <c r="DO108" s="35"/>
      <c r="DP108" s="35"/>
      <c r="DQ108" s="35"/>
      <c r="DR108" s="35"/>
      <c r="DS108" s="35">
        <v>39800</v>
      </c>
      <c r="DT108" s="35">
        <v>750</v>
      </c>
      <c r="DU108" s="35">
        <v>1194</v>
      </c>
      <c r="DV108" s="35"/>
      <c r="DW108" s="35"/>
      <c r="DX108" s="35"/>
      <c r="DY108" s="35">
        <f t="shared" si="107"/>
        <v>41744</v>
      </c>
      <c r="DZ108" s="35">
        <f t="shared" si="108"/>
        <v>136974</v>
      </c>
      <c r="EA108" s="35"/>
      <c r="EB108" s="35"/>
      <c r="EC108" s="35"/>
      <c r="ED108" s="35"/>
      <c r="EE108" s="35"/>
      <c r="EF108" s="35"/>
      <c r="EG108" s="35">
        <v>39800</v>
      </c>
      <c r="EH108" s="35">
        <v>750</v>
      </c>
      <c r="EI108" s="35">
        <v>1194</v>
      </c>
      <c r="EJ108" s="35"/>
      <c r="EK108" s="35"/>
      <c r="EL108" s="35"/>
      <c r="EM108" s="35">
        <f t="shared" si="109"/>
        <v>41744</v>
      </c>
      <c r="EN108" s="35"/>
      <c r="EO108" s="35"/>
      <c r="EP108" s="35"/>
      <c r="EQ108" s="35"/>
      <c r="ER108" s="35"/>
      <c r="ES108" s="35"/>
      <c r="ET108" s="35">
        <v>39800</v>
      </c>
      <c r="EU108" s="35">
        <v>750</v>
      </c>
      <c r="EV108" s="35">
        <v>1194</v>
      </c>
      <c r="EW108" s="35"/>
      <c r="EX108" s="35"/>
      <c r="EY108" s="35"/>
      <c r="EZ108" s="35">
        <f t="shared" si="102"/>
        <v>41744</v>
      </c>
      <c r="FA108" s="35"/>
      <c r="FB108" s="35"/>
      <c r="FC108" s="35"/>
      <c r="FD108" s="35"/>
      <c r="FE108" s="35"/>
      <c r="FF108" s="35"/>
      <c r="FG108" s="35">
        <v>39800</v>
      </c>
      <c r="FH108" s="35">
        <v>750</v>
      </c>
      <c r="FI108" s="35">
        <v>1194</v>
      </c>
      <c r="FJ108" s="35"/>
      <c r="FK108" s="35"/>
      <c r="FL108" s="35"/>
      <c r="FM108" s="35">
        <f t="shared" si="110"/>
        <v>41744</v>
      </c>
      <c r="FN108" s="35">
        <f t="shared" si="111"/>
        <v>125232</v>
      </c>
      <c r="FO108" s="35">
        <f t="shared" si="112"/>
        <v>500928</v>
      </c>
    </row>
    <row r="109" spans="1:171" x14ac:dyDescent="0.35">
      <c r="A109" s="34"/>
      <c r="B109" s="40"/>
      <c r="C109" s="58"/>
      <c r="D109" s="79" t="s">
        <v>195</v>
      </c>
      <c r="E109" s="58" t="s">
        <v>8</v>
      </c>
      <c r="F109" s="58" t="s">
        <v>18</v>
      </c>
      <c r="G109" s="58"/>
      <c r="H109" s="58"/>
      <c r="I109" s="58"/>
      <c r="J109" s="58"/>
      <c r="K109" s="35"/>
      <c r="L109" s="35"/>
      <c r="M109" s="35"/>
      <c r="N109" s="35"/>
      <c r="O109" s="35"/>
      <c r="P109" s="35"/>
      <c r="Q109" s="35">
        <v>37900</v>
      </c>
      <c r="R109" s="35">
        <v>750</v>
      </c>
      <c r="S109" s="35">
        <v>1137</v>
      </c>
      <c r="T109" s="35"/>
      <c r="U109" s="35"/>
      <c r="V109" s="35"/>
      <c r="W109" s="35">
        <f t="shared" si="103"/>
        <v>39787</v>
      </c>
      <c r="X109" s="35"/>
      <c r="Y109" s="35"/>
      <c r="Z109" s="35"/>
      <c r="AA109" s="35"/>
      <c r="AB109" s="35"/>
      <c r="AC109" s="35"/>
      <c r="AD109" s="35">
        <v>37900</v>
      </c>
      <c r="AE109" s="35">
        <v>750</v>
      </c>
      <c r="AF109" s="35">
        <v>1137</v>
      </c>
      <c r="AG109" s="35"/>
      <c r="AH109" s="35"/>
      <c r="AI109" s="35"/>
      <c r="AJ109" s="35">
        <f t="shared" si="97"/>
        <v>39787</v>
      </c>
      <c r="AK109" s="35"/>
      <c r="AL109" s="35"/>
      <c r="AM109" s="35"/>
      <c r="AN109" s="35"/>
      <c r="AO109" s="35"/>
      <c r="AP109" s="35"/>
      <c r="AQ109" s="35">
        <v>37900</v>
      </c>
      <c r="AR109" s="35">
        <v>750</v>
      </c>
      <c r="AS109" s="35">
        <v>1137</v>
      </c>
      <c r="AT109" s="35"/>
      <c r="AU109" s="35"/>
      <c r="AV109" s="35"/>
      <c r="AW109" s="35">
        <f t="shared" si="98"/>
        <v>39787</v>
      </c>
      <c r="AX109" s="35">
        <f t="shared" si="96"/>
        <v>119361</v>
      </c>
      <c r="AY109" s="35"/>
      <c r="AZ109" s="35"/>
      <c r="BA109" s="35"/>
      <c r="BB109" s="35"/>
      <c r="BC109" s="35"/>
      <c r="BD109" s="35"/>
      <c r="BE109" s="35">
        <v>37900</v>
      </c>
      <c r="BF109" s="35">
        <v>750</v>
      </c>
      <c r="BG109" s="35">
        <v>1137</v>
      </c>
      <c r="BH109" s="35"/>
      <c r="BI109" s="35"/>
      <c r="BJ109" s="35"/>
      <c r="BK109" s="35">
        <f t="shared" si="104"/>
        <v>39787</v>
      </c>
      <c r="BL109" s="35"/>
      <c r="BM109" s="35"/>
      <c r="BN109" s="35"/>
      <c r="BO109" s="35"/>
      <c r="BP109" s="35"/>
      <c r="BQ109" s="35"/>
      <c r="BR109" s="35">
        <v>37900</v>
      </c>
      <c r="BS109" s="35">
        <v>750</v>
      </c>
      <c r="BT109" s="35">
        <v>1137</v>
      </c>
      <c r="BU109" s="35"/>
      <c r="BV109" s="35"/>
      <c r="BW109" s="35"/>
      <c r="BX109" s="35">
        <f t="shared" si="99"/>
        <v>39787</v>
      </c>
      <c r="BY109" s="35"/>
      <c r="BZ109" s="35"/>
      <c r="CA109" s="35"/>
      <c r="CB109" s="35"/>
      <c r="CC109" s="35"/>
      <c r="CD109" s="35"/>
      <c r="CE109" s="35">
        <v>37900</v>
      </c>
      <c r="CF109" s="35">
        <v>750</v>
      </c>
      <c r="CG109" s="35">
        <v>1137</v>
      </c>
      <c r="CH109" s="35"/>
      <c r="CI109" s="35"/>
      <c r="CJ109" s="35"/>
      <c r="CK109" s="35">
        <f t="shared" si="100"/>
        <v>39787</v>
      </c>
      <c r="CL109" s="35">
        <f t="shared" si="105"/>
        <v>119361</v>
      </c>
      <c r="CM109" s="35"/>
      <c r="CN109" s="35"/>
      <c r="CO109" s="35"/>
      <c r="CP109" s="35"/>
      <c r="CQ109" s="35"/>
      <c r="CR109" s="35"/>
      <c r="CS109" s="35">
        <v>39800</v>
      </c>
      <c r="CT109" s="35">
        <v>750</v>
      </c>
      <c r="CU109" s="35">
        <v>1194</v>
      </c>
      <c r="CV109" s="35"/>
      <c r="CW109" s="35"/>
      <c r="CX109" s="35"/>
      <c r="CY109" s="35">
        <f t="shared" si="106"/>
        <v>41744</v>
      </c>
      <c r="CZ109" s="35"/>
      <c r="DA109" s="35"/>
      <c r="DB109" s="35"/>
      <c r="DC109" s="35"/>
      <c r="DD109" s="35"/>
      <c r="DE109" s="35"/>
      <c r="DF109" s="35">
        <f>11400+39800</f>
        <v>51200</v>
      </c>
      <c r="DG109" s="35">
        <v>750</v>
      </c>
      <c r="DH109" s="35">
        <f>342+1194</f>
        <v>1536</v>
      </c>
      <c r="DI109" s="35"/>
      <c r="DJ109" s="35"/>
      <c r="DK109" s="35"/>
      <c r="DL109" s="35">
        <f t="shared" si="101"/>
        <v>53486</v>
      </c>
      <c r="DM109" s="35"/>
      <c r="DN109" s="35"/>
      <c r="DO109" s="35"/>
      <c r="DP109" s="35"/>
      <c r="DQ109" s="35"/>
      <c r="DR109" s="35"/>
      <c r="DS109" s="35">
        <v>39800</v>
      </c>
      <c r="DT109" s="35">
        <v>750</v>
      </c>
      <c r="DU109" s="35">
        <v>1194</v>
      </c>
      <c r="DV109" s="35"/>
      <c r="DW109" s="35"/>
      <c r="DX109" s="35"/>
      <c r="DY109" s="35">
        <f t="shared" si="107"/>
        <v>41744</v>
      </c>
      <c r="DZ109" s="35">
        <f t="shared" si="108"/>
        <v>136974</v>
      </c>
      <c r="EA109" s="35"/>
      <c r="EB109" s="35"/>
      <c r="EC109" s="35"/>
      <c r="ED109" s="35"/>
      <c r="EE109" s="35"/>
      <c r="EF109" s="35"/>
      <c r="EG109" s="35">
        <v>39800</v>
      </c>
      <c r="EH109" s="35">
        <v>750</v>
      </c>
      <c r="EI109" s="35">
        <v>1194</v>
      </c>
      <c r="EJ109" s="35"/>
      <c r="EK109" s="35"/>
      <c r="EL109" s="35"/>
      <c r="EM109" s="35">
        <f t="shared" si="109"/>
        <v>41744</v>
      </c>
      <c r="EN109" s="35"/>
      <c r="EO109" s="35"/>
      <c r="EP109" s="35"/>
      <c r="EQ109" s="35"/>
      <c r="ER109" s="35"/>
      <c r="ES109" s="35"/>
      <c r="ET109" s="35">
        <v>39800</v>
      </c>
      <c r="EU109" s="35">
        <v>750</v>
      </c>
      <c r="EV109" s="35">
        <v>1194</v>
      </c>
      <c r="EW109" s="35"/>
      <c r="EX109" s="35"/>
      <c r="EY109" s="35"/>
      <c r="EZ109" s="35">
        <f t="shared" si="102"/>
        <v>41744</v>
      </c>
      <c r="FA109" s="35"/>
      <c r="FB109" s="35"/>
      <c r="FC109" s="35"/>
      <c r="FD109" s="35"/>
      <c r="FE109" s="35"/>
      <c r="FF109" s="35"/>
      <c r="FG109" s="35">
        <v>39800</v>
      </c>
      <c r="FH109" s="35">
        <v>750</v>
      </c>
      <c r="FI109" s="35">
        <v>1194</v>
      </c>
      <c r="FJ109" s="35"/>
      <c r="FK109" s="35"/>
      <c r="FL109" s="35"/>
      <c r="FM109" s="35">
        <f t="shared" si="110"/>
        <v>41744</v>
      </c>
      <c r="FN109" s="35">
        <f t="shared" si="111"/>
        <v>125232</v>
      </c>
      <c r="FO109" s="35">
        <f t="shared" si="112"/>
        <v>500928</v>
      </c>
    </row>
    <row r="110" spans="1:171" x14ac:dyDescent="0.35">
      <c r="A110" s="34"/>
      <c r="B110" s="40"/>
      <c r="C110" s="58"/>
      <c r="D110" s="79" t="s">
        <v>196</v>
      </c>
      <c r="E110" s="58" t="s">
        <v>8</v>
      </c>
      <c r="F110" s="58" t="s">
        <v>18</v>
      </c>
      <c r="G110" s="58"/>
      <c r="H110" s="58"/>
      <c r="I110" s="58"/>
      <c r="J110" s="58"/>
      <c r="K110" s="35"/>
      <c r="L110" s="35"/>
      <c r="M110" s="35"/>
      <c r="N110" s="35"/>
      <c r="O110" s="35"/>
      <c r="P110" s="35"/>
      <c r="Q110" s="35">
        <v>37840</v>
      </c>
      <c r="R110" s="35">
        <v>750</v>
      </c>
      <c r="S110" s="35">
        <v>1135</v>
      </c>
      <c r="T110" s="35"/>
      <c r="U110" s="35"/>
      <c r="V110" s="35"/>
      <c r="W110" s="35">
        <f t="shared" si="103"/>
        <v>39725</v>
      </c>
      <c r="X110" s="35"/>
      <c r="Y110" s="35"/>
      <c r="Z110" s="35"/>
      <c r="AA110" s="35"/>
      <c r="AB110" s="35"/>
      <c r="AC110" s="35"/>
      <c r="AD110" s="35">
        <v>37840</v>
      </c>
      <c r="AE110" s="35">
        <v>750</v>
      </c>
      <c r="AF110" s="35">
        <v>1135</v>
      </c>
      <c r="AG110" s="35"/>
      <c r="AH110" s="35"/>
      <c r="AI110" s="35"/>
      <c r="AJ110" s="35">
        <f t="shared" si="97"/>
        <v>39725</v>
      </c>
      <c r="AK110" s="35"/>
      <c r="AL110" s="35"/>
      <c r="AM110" s="35"/>
      <c r="AN110" s="35"/>
      <c r="AO110" s="35"/>
      <c r="AP110" s="35"/>
      <c r="AQ110" s="35">
        <v>37840</v>
      </c>
      <c r="AR110" s="35">
        <v>750</v>
      </c>
      <c r="AS110" s="35">
        <v>1135</v>
      </c>
      <c r="AT110" s="35"/>
      <c r="AU110" s="35"/>
      <c r="AV110" s="35"/>
      <c r="AW110" s="35">
        <f t="shared" si="98"/>
        <v>39725</v>
      </c>
      <c r="AX110" s="35">
        <f t="shared" si="96"/>
        <v>119175</v>
      </c>
      <c r="AY110" s="35"/>
      <c r="AZ110" s="35"/>
      <c r="BA110" s="35"/>
      <c r="BB110" s="35"/>
      <c r="BC110" s="35"/>
      <c r="BD110" s="35"/>
      <c r="BE110" s="35">
        <v>37840</v>
      </c>
      <c r="BF110" s="35">
        <v>750</v>
      </c>
      <c r="BG110" s="35">
        <v>1135</v>
      </c>
      <c r="BH110" s="35"/>
      <c r="BI110" s="35"/>
      <c r="BJ110" s="35"/>
      <c r="BK110" s="35">
        <f t="shared" si="104"/>
        <v>39725</v>
      </c>
      <c r="BL110" s="35"/>
      <c r="BM110" s="35"/>
      <c r="BN110" s="35"/>
      <c r="BO110" s="35"/>
      <c r="BP110" s="35"/>
      <c r="BQ110" s="35"/>
      <c r="BR110" s="35">
        <v>37840</v>
      </c>
      <c r="BS110" s="35">
        <v>750</v>
      </c>
      <c r="BT110" s="35">
        <v>1135</v>
      </c>
      <c r="BU110" s="35"/>
      <c r="BV110" s="35"/>
      <c r="BW110" s="35"/>
      <c r="BX110" s="35">
        <f t="shared" si="99"/>
        <v>39725</v>
      </c>
      <c r="BY110" s="35"/>
      <c r="BZ110" s="35"/>
      <c r="CA110" s="35"/>
      <c r="CB110" s="35"/>
      <c r="CC110" s="35"/>
      <c r="CD110" s="35"/>
      <c r="CE110" s="35">
        <v>37840</v>
      </c>
      <c r="CF110" s="35">
        <v>750</v>
      </c>
      <c r="CG110" s="35">
        <v>1135</v>
      </c>
      <c r="CH110" s="35"/>
      <c r="CI110" s="35"/>
      <c r="CJ110" s="35"/>
      <c r="CK110" s="35">
        <f t="shared" si="100"/>
        <v>39725</v>
      </c>
      <c r="CL110" s="35">
        <f t="shared" si="105"/>
        <v>119175</v>
      </c>
      <c r="CM110" s="35"/>
      <c r="CN110" s="35"/>
      <c r="CO110" s="35"/>
      <c r="CP110" s="35"/>
      <c r="CQ110" s="35"/>
      <c r="CR110" s="35"/>
      <c r="CS110" s="35">
        <v>39740</v>
      </c>
      <c r="CT110" s="35">
        <v>750</v>
      </c>
      <c r="CU110" s="35">
        <v>1192</v>
      </c>
      <c r="CV110" s="35"/>
      <c r="CW110" s="35"/>
      <c r="CX110" s="35"/>
      <c r="CY110" s="35">
        <f t="shared" si="106"/>
        <v>41682</v>
      </c>
      <c r="CZ110" s="35"/>
      <c r="DA110" s="35"/>
      <c r="DB110" s="35"/>
      <c r="DC110" s="35"/>
      <c r="DD110" s="35"/>
      <c r="DE110" s="35"/>
      <c r="DF110" s="35">
        <f>11400+39740</f>
        <v>51140</v>
      </c>
      <c r="DG110" s="35">
        <v>750</v>
      </c>
      <c r="DH110" s="35">
        <f>342+1192</f>
        <v>1534</v>
      </c>
      <c r="DI110" s="35"/>
      <c r="DJ110" s="35"/>
      <c r="DK110" s="35"/>
      <c r="DL110" s="35">
        <f t="shared" si="101"/>
        <v>53424</v>
      </c>
      <c r="DM110" s="35"/>
      <c r="DN110" s="35"/>
      <c r="DO110" s="35"/>
      <c r="DP110" s="35"/>
      <c r="DQ110" s="35"/>
      <c r="DR110" s="35"/>
      <c r="DS110" s="35">
        <v>39740</v>
      </c>
      <c r="DT110" s="35">
        <v>750</v>
      </c>
      <c r="DU110" s="35">
        <v>1192</v>
      </c>
      <c r="DV110" s="35"/>
      <c r="DW110" s="35"/>
      <c r="DX110" s="35"/>
      <c r="DY110" s="35">
        <f t="shared" si="107"/>
        <v>41682</v>
      </c>
      <c r="DZ110" s="35">
        <f t="shared" si="108"/>
        <v>136788</v>
      </c>
      <c r="EA110" s="35"/>
      <c r="EB110" s="35"/>
      <c r="EC110" s="35"/>
      <c r="ED110" s="35"/>
      <c r="EE110" s="35"/>
      <c r="EF110" s="35"/>
      <c r="EG110" s="35">
        <v>39740</v>
      </c>
      <c r="EH110" s="35">
        <v>750</v>
      </c>
      <c r="EI110" s="35">
        <v>1192</v>
      </c>
      <c r="EJ110" s="35"/>
      <c r="EK110" s="35"/>
      <c r="EL110" s="35"/>
      <c r="EM110" s="35">
        <f t="shared" si="109"/>
        <v>41682</v>
      </c>
      <c r="EN110" s="35"/>
      <c r="EO110" s="35"/>
      <c r="EP110" s="35"/>
      <c r="EQ110" s="35"/>
      <c r="ER110" s="35"/>
      <c r="ES110" s="35"/>
      <c r="ET110" s="35">
        <v>39740</v>
      </c>
      <c r="EU110" s="35">
        <v>750</v>
      </c>
      <c r="EV110" s="35">
        <v>1192</v>
      </c>
      <c r="EW110" s="35"/>
      <c r="EX110" s="35"/>
      <c r="EY110" s="35"/>
      <c r="EZ110" s="35">
        <f t="shared" si="102"/>
        <v>41682</v>
      </c>
      <c r="FA110" s="35"/>
      <c r="FB110" s="35"/>
      <c r="FC110" s="35"/>
      <c r="FD110" s="35"/>
      <c r="FE110" s="35"/>
      <c r="FF110" s="35"/>
      <c r="FG110" s="35">
        <v>39740</v>
      </c>
      <c r="FH110" s="35">
        <v>750</v>
      </c>
      <c r="FI110" s="35">
        <v>1192</v>
      </c>
      <c r="FJ110" s="35"/>
      <c r="FK110" s="35"/>
      <c r="FL110" s="35"/>
      <c r="FM110" s="35">
        <f t="shared" si="110"/>
        <v>41682</v>
      </c>
      <c r="FN110" s="35">
        <f t="shared" si="111"/>
        <v>125046</v>
      </c>
      <c r="FO110" s="35">
        <f t="shared" si="112"/>
        <v>500184</v>
      </c>
    </row>
    <row r="111" spans="1:171" x14ac:dyDescent="0.35">
      <c r="A111" s="34"/>
      <c r="B111" s="40"/>
      <c r="C111" s="58"/>
      <c r="D111" s="79" t="s">
        <v>233</v>
      </c>
      <c r="E111" s="58" t="s">
        <v>8</v>
      </c>
      <c r="F111" s="58" t="s">
        <v>18</v>
      </c>
      <c r="G111" s="58"/>
      <c r="H111" s="58"/>
      <c r="I111" s="58"/>
      <c r="J111" s="58"/>
      <c r="K111" s="35"/>
      <c r="L111" s="35"/>
      <c r="M111" s="35"/>
      <c r="N111" s="35"/>
      <c r="O111" s="35"/>
      <c r="P111" s="35"/>
      <c r="Q111" s="35">
        <v>29860</v>
      </c>
      <c r="R111" s="35">
        <v>750</v>
      </c>
      <c r="S111" s="35">
        <v>896</v>
      </c>
      <c r="T111" s="35"/>
      <c r="U111" s="35"/>
      <c r="V111" s="35"/>
      <c r="W111" s="35">
        <f t="shared" si="103"/>
        <v>31506</v>
      </c>
      <c r="X111" s="35"/>
      <c r="Y111" s="35"/>
      <c r="Z111" s="35"/>
      <c r="AA111" s="35"/>
      <c r="AB111" s="35"/>
      <c r="AC111" s="35"/>
      <c r="AD111" s="35">
        <v>29860</v>
      </c>
      <c r="AE111" s="35">
        <v>750</v>
      </c>
      <c r="AF111" s="35">
        <v>896</v>
      </c>
      <c r="AG111" s="35"/>
      <c r="AH111" s="35"/>
      <c r="AI111" s="35"/>
      <c r="AJ111" s="35">
        <f t="shared" si="97"/>
        <v>31506</v>
      </c>
      <c r="AK111" s="35"/>
      <c r="AL111" s="35"/>
      <c r="AM111" s="35"/>
      <c r="AN111" s="35"/>
      <c r="AO111" s="35"/>
      <c r="AP111" s="35"/>
      <c r="AQ111" s="35">
        <v>29860</v>
      </c>
      <c r="AR111" s="35">
        <v>750</v>
      </c>
      <c r="AS111" s="35">
        <v>896</v>
      </c>
      <c r="AT111" s="35"/>
      <c r="AU111" s="35"/>
      <c r="AV111" s="35"/>
      <c r="AW111" s="35">
        <f t="shared" si="98"/>
        <v>31506</v>
      </c>
      <c r="AX111" s="35">
        <f t="shared" si="96"/>
        <v>94518</v>
      </c>
      <c r="AY111" s="35"/>
      <c r="AZ111" s="35"/>
      <c r="BA111" s="35"/>
      <c r="BB111" s="35"/>
      <c r="BC111" s="35"/>
      <c r="BD111" s="35"/>
      <c r="BE111" s="35">
        <v>29860</v>
      </c>
      <c r="BF111" s="35">
        <v>750</v>
      </c>
      <c r="BG111" s="35">
        <v>896</v>
      </c>
      <c r="BH111" s="35"/>
      <c r="BI111" s="35"/>
      <c r="BJ111" s="35"/>
      <c r="BK111" s="35">
        <f t="shared" si="104"/>
        <v>31506</v>
      </c>
      <c r="BL111" s="35"/>
      <c r="BM111" s="35"/>
      <c r="BN111" s="35"/>
      <c r="BO111" s="35"/>
      <c r="BP111" s="35"/>
      <c r="BQ111" s="35"/>
      <c r="BR111" s="35">
        <v>29860</v>
      </c>
      <c r="BS111" s="35">
        <v>750</v>
      </c>
      <c r="BT111" s="35">
        <v>896</v>
      </c>
      <c r="BU111" s="35"/>
      <c r="BV111" s="35"/>
      <c r="BW111" s="35"/>
      <c r="BX111" s="35">
        <f t="shared" si="99"/>
        <v>31506</v>
      </c>
      <c r="BY111" s="35"/>
      <c r="BZ111" s="35"/>
      <c r="CA111" s="35"/>
      <c r="CB111" s="35"/>
      <c r="CC111" s="35"/>
      <c r="CD111" s="35"/>
      <c r="CE111" s="35">
        <v>29860</v>
      </c>
      <c r="CF111" s="35">
        <v>750</v>
      </c>
      <c r="CG111" s="35">
        <v>896</v>
      </c>
      <c r="CH111" s="35"/>
      <c r="CI111" s="35"/>
      <c r="CJ111" s="35"/>
      <c r="CK111" s="35">
        <f t="shared" si="100"/>
        <v>31506</v>
      </c>
      <c r="CL111" s="35">
        <f t="shared" si="105"/>
        <v>94518</v>
      </c>
      <c r="CM111" s="35"/>
      <c r="CN111" s="35"/>
      <c r="CO111" s="35"/>
      <c r="CP111" s="35"/>
      <c r="CQ111" s="35"/>
      <c r="CR111" s="35"/>
      <c r="CS111" s="35">
        <v>31360</v>
      </c>
      <c r="CT111" s="35">
        <v>750</v>
      </c>
      <c r="CU111" s="35">
        <v>941</v>
      </c>
      <c r="CV111" s="35"/>
      <c r="CW111" s="35"/>
      <c r="CX111" s="35"/>
      <c r="CY111" s="35">
        <f t="shared" si="106"/>
        <v>33051</v>
      </c>
      <c r="CZ111" s="35"/>
      <c r="DA111" s="35"/>
      <c r="DB111" s="35"/>
      <c r="DC111" s="35"/>
      <c r="DD111" s="35"/>
      <c r="DE111" s="35"/>
      <c r="DF111" s="35">
        <f>9000+31360</f>
        <v>40360</v>
      </c>
      <c r="DG111" s="35">
        <v>750</v>
      </c>
      <c r="DH111" s="35">
        <f>270+941</f>
        <v>1211</v>
      </c>
      <c r="DI111" s="35"/>
      <c r="DJ111" s="35"/>
      <c r="DK111" s="35"/>
      <c r="DL111" s="35">
        <f t="shared" si="101"/>
        <v>42321</v>
      </c>
      <c r="DM111" s="35"/>
      <c r="DN111" s="35"/>
      <c r="DO111" s="35"/>
      <c r="DP111" s="35"/>
      <c r="DQ111" s="35"/>
      <c r="DR111" s="35"/>
      <c r="DS111" s="35">
        <v>31360</v>
      </c>
      <c r="DT111" s="35">
        <v>750</v>
      </c>
      <c r="DU111" s="35">
        <v>941</v>
      </c>
      <c r="DV111" s="35"/>
      <c r="DW111" s="35"/>
      <c r="DX111" s="35"/>
      <c r="DY111" s="35">
        <f t="shared" si="107"/>
        <v>33051</v>
      </c>
      <c r="DZ111" s="35">
        <f t="shared" si="108"/>
        <v>108423</v>
      </c>
      <c r="EA111" s="35"/>
      <c r="EB111" s="35"/>
      <c r="EC111" s="35"/>
      <c r="ED111" s="35"/>
      <c r="EE111" s="35"/>
      <c r="EF111" s="35"/>
      <c r="EG111" s="35">
        <v>31360</v>
      </c>
      <c r="EH111" s="35">
        <v>750</v>
      </c>
      <c r="EI111" s="35">
        <v>941</v>
      </c>
      <c r="EJ111" s="35"/>
      <c r="EK111" s="35"/>
      <c r="EL111" s="35"/>
      <c r="EM111" s="35">
        <f t="shared" si="109"/>
        <v>33051</v>
      </c>
      <c r="EN111" s="35"/>
      <c r="EO111" s="35"/>
      <c r="EP111" s="35"/>
      <c r="EQ111" s="35"/>
      <c r="ER111" s="35"/>
      <c r="ES111" s="35"/>
      <c r="ET111" s="35">
        <v>31360</v>
      </c>
      <c r="EU111" s="35">
        <v>750</v>
      </c>
      <c r="EV111" s="35">
        <v>941</v>
      </c>
      <c r="EW111" s="35"/>
      <c r="EX111" s="35"/>
      <c r="EY111" s="35"/>
      <c r="EZ111" s="35">
        <f t="shared" si="102"/>
        <v>33051</v>
      </c>
      <c r="FA111" s="35"/>
      <c r="FB111" s="35"/>
      <c r="FC111" s="35"/>
      <c r="FD111" s="35"/>
      <c r="FE111" s="35"/>
      <c r="FF111" s="35"/>
      <c r="FG111" s="35">
        <v>31360</v>
      </c>
      <c r="FH111" s="35">
        <v>750</v>
      </c>
      <c r="FI111" s="35">
        <v>941</v>
      </c>
      <c r="FJ111" s="35"/>
      <c r="FK111" s="35"/>
      <c r="FL111" s="35"/>
      <c r="FM111" s="35">
        <f t="shared" si="110"/>
        <v>33051</v>
      </c>
      <c r="FN111" s="35">
        <f t="shared" si="111"/>
        <v>99153</v>
      </c>
      <c r="FO111" s="35">
        <f t="shared" si="112"/>
        <v>396612</v>
      </c>
    </row>
    <row r="112" spans="1:171" x14ac:dyDescent="0.35">
      <c r="A112" s="34"/>
      <c r="B112" s="40"/>
      <c r="C112" s="58"/>
      <c r="D112" s="79" t="s">
        <v>197</v>
      </c>
      <c r="E112" s="58" t="s">
        <v>8</v>
      </c>
      <c r="F112" s="58" t="s">
        <v>18</v>
      </c>
      <c r="G112" s="58"/>
      <c r="H112" s="58"/>
      <c r="I112" s="58"/>
      <c r="J112" s="58"/>
      <c r="K112" s="35"/>
      <c r="L112" s="35"/>
      <c r="M112" s="35"/>
      <c r="N112" s="35"/>
      <c r="O112" s="35"/>
      <c r="P112" s="35"/>
      <c r="Q112" s="35">
        <v>29330</v>
      </c>
      <c r="R112" s="35">
        <v>750</v>
      </c>
      <c r="S112" s="35">
        <v>880</v>
      </c>
      <c r="T112" s="35"/>
      <c r="U112" s="35"/>
      <c r="V112" s="35"/>
      <c r="W112" s="35">
        <f t="shared" si="103"/>
        <v>30960</v>
      </c>
      <c r="X112" s="35"/>
      <c r="Y112" s="35"/>
      <c r="Z112" s="35"/>
      <c r="AA112" s="35"/>
      <c r="AB112" s="35"/>
      <c r="AC112" s="35"/>
      <c r="AD112" s="35">
        <v>29330</v>
      </c>
      <c r="AE112" s="35">
        <v>750</v>
      </c>
      <c r="AF112" s="35">
        <v>880</v>
      </c>
      <c r="AG112" s="35"/>
      <c r="AH112" s="35"/>
      <c r="AI112" s="35"/>
      <c r="AJ112" s="35">
        <f t="shared" si="97"/>
        <v>30960</v>
      </c>
      <c r="AK112" s="35"/>
      <c r="AL112" s="35"/>
      <c r="AM112" s="35"/>
      <c r="AN112" s="35"/>
      <c r="AO112" s="35"/>
      <c r="AP112" s="35"/>
      <c r="AQ112" s="35">
        <v>29330</v>
      </c>
      <c r="AR112" s="35">
        <v>750</v>
      </c>
      <c r="AS112" s="35">
        <v>880</v>
      </c>
      <c r="AT112" s="35"/>
      <c r="AU112" s="35"/>
      <c r="AV112" s="35"/>
      <c r="AW112" s="35">
        <f t="shared" si="98"/>
        <v>30960</v>
      </c>
      <c r="AX112" s="35">
        <f t="shared" si="96"/>
        <v>92880</v>
      </c>
      <c r="AY112" s="35"/>
      <c r="AZ112" s="35"/>
      <c r="BA112" s="35"/>
      <c r="BB112" s="35"/>
      <c r="BC112" s="35"/>
      <c r="BD112" s="35"/>
      <c r="BE112" s="35">
        <v>29330</v>
      </c>
      <c r="BF112" s="35">
        <v>750</v>
      </c>
      <c r="BG112" s="35">
        <v>880</v>
      </c>
      <c r="BH112" s="35"/>
      <c r="BI112" s="35"/>
      <c r="BJ112" s="35"/>
      <c r="BK112" s="35">
        <f t="shared" si="104"/>
        <v>30960</v>
      </c>
      <c r="BL112" s="35"/>
      <c r="BM112" s="35"/>
      <c r="BN112" s="35"/>
      <c r="BO112" s="35"/>
      <c r="BP112" s="35"/>
      <c r="BQ112" s="35"/>
      <c r="BR112" s="35">
        <v>29330</v>
      </c>
      <c r="BS112" s="35">
        <v>750</v>
      </c>
      <c r="BT112" s="35">
        <v>880</v>
      </c>
      <c r="BU112" s="35"/>
      <c r="BV112" s="35"/>
      <c r="BW112" s="35"/>
      <c r="BX112" s="35">
        <f t="shared" si="99"/>
        <v>30960</v>
      </c>
      <c r="BY112" s="35"/>
      <c r="BZ112" s="35"/>
      <c r="CA112" s="35"/>
      <c r="CB112" s="35"/>
      <c r="CC112" s="35"/>
      <c r="CD112" s="35"/>
      <c r="CE112" s="35">
        <v>29330</v>
      </c>
      <c r="CF112" s="35">
        <v>750</v>
      </c>
      <c r="CG112" s="35">
        <v>880</v>
      </c>
      <c r="CH112" s="35"/>
      <c r="CI112" s="35"/>
      <c r="CJ112" s="35"/>
      <c r="CK112" s="35">
        <f t="shared" si="100"/>
        <v>30960</v>
      </c>
      <c r="CL112" s="35">
        <f t="shared" si="105"/>
        <v>92880</v>
      </c>
      <c r="CM112" s="35"/>
      <c r="CN112" s="35"/>
      <c r="CO112" s="35"/>
      <c r="CP112" s="35"/>
      <c r="CQ112" s="35"/>
      <c r="CR112" s="35"/>
      <c r="CS112" s="35">
        <v>30780</v>
      </c>
      <c r="CT112" s="35">
        <v>750</v>
      </c>
      <c r="CU112" s="35">
        <v>923</v>
      </c>
      <c r="CV112" s="35"/>
      <c r="CW112" s="35"/>
      <c r="CX112" s="35"/>
      <c r="CY112" s="35">
        <f t="shared" si="106"/>
        <v>32453</v>
      </c>
      <c r="CZ112" s="35"/>
      <c r="DA112" s="35"/>
      <c r="DB112" s="35"/>
      <c r="DC112" s="35"/>
      <c r="DD112" s="35"/>
      <c r="DE112" s="35"/>
      <c r="DF112" s="35">
        <f>8700+30780</f>
        <v>39480</v>
      </c>
      <c r="DG112" s="35">
        <v>750</v>
      </c>
      <c r="DH112" s="35">
        <f>264+923</f>
        <v>1187</v>
      </c>
      <c r="DI112" s="35"/>
      <c r="DJ112" s="35"/>
      <c r="DK112" s="35"/>
      <c r="DL112" s="35">
        <f t="shared" si="101"/>
        <v>41417</v>
      </c>
      <c r="DM112" s="35"/>
      <c r="DN112" s="35"/>
      <c r="DO112" s="35"/>
      <c r="DP112" s="35"/>
      <c r="DQ112" s="35"/>
      <c r="DR112" s="35"/>
      <c r="DS112" s="35">
        <v>30780</v>
      </c>
      <c r="DT112" s="35">
        <v>750</v>
      </c>
      <c r="DU112" s="35">
        <v>923</v>
      </c>
      <c r="DV112" s="35"/>
      <c r="DW112" s="35"/>
      <c r="DX112" s="35"/>
      <c r="DY112" s="35">
        <f t="shared" si="107"/>
        <v>32453</v>
      </c>
      <c r="DZ112" s="35">
        <f t="shared" si="108"/>
        <v>106323</v>
      </c>
      <c r="EA112" s="35"/>
      <c r="EB112" s="35"/>
      <c r="EC112" s="35"/>
      <c r="ED112" s="35"/>
      <c r="EE112" s="35"/>
      <c r="EF112" s="35"/>
      <c r="EG112" s="35">
        <v>30780</v>
      </c>
      <c r="EH112" s="35">
        <v>750</v>
      </c>
      <c r="EI112" s="35">
        <v>923</v>
      </c>
      <c r="EJ112" s="35"/>
      <c r="EK112" s="35"/>
      <c r="EL112" s="35"/>
      <c r="EM112" s="35">
        <f t="shared" si="109"/>
        <v>32453</v>
      </c>
      <c r="EN112" s="35"/>
      <c r="EO112" s="35"/>
      <c r="EP112" s="35"/>
      <c r="EQ112" s="35"/>
      <c r="ER112" s="35"/>
      <c r="ES112" s="35"/>
      <c r="ET112" s="35">
        <v>30780</v>
      </c>
      <c r="EU112" s="35">
        <v>750</v>
      </c>
      <c r="EV112" s="35">
        <v>923</v>
      </c>
      <c r="EW112" s="35"/>
      <c r="EX112" s="35"/>
      <c r="EY112" s="35"/>
      <c r="EZ112" s="35">
        <f t="shared" si="102"/>
        <v>32453</v>
      </c>
      <c r="FA112" s="35"/>
      <c r="FB112" s="35"/>
      <c r="FC112" s="35"/>
      <c r="FD112" s="35"/>
      <c r="FE112" s="35"/>
      <c r="FF112" s="35"/>
      <c r="FG112" s="35">
        <v>30780</v>
      </c>
      <c r="FH112" s="35">
        <v>750</v>
      </c>
      <c r="FI112" s="35">
        <v>923</v>
      </c>
      <c r="FJ112" s="35"/>
      <c r="FK112" s="35"/>
      <c r="FL112" s="35"/>
      <c r="FM112" s="35">
        <f t="shared" si="110"/>
        <v>32453</v>
      </c>
      <c r="FN112" s="35">
        <f t="shared" si="111"/>
        <v>97359</v>
      </c>
      <c r="FO112" s="35">
        <f t="shared" si="112"/>
        <v>389442</v>
      </c>
    </row>
    <row r="113" spans="1:171" x14ac:dyDescent="0.35">
      <c r="A113" s="34"/>
      <c r="B113" s="40"/>
      <c r="C113" s="58"/>
      <c r="D113" s="79" t="s">
        <v>198</v>
      </c>
      <c r="E113" s="58" t="s">
        <v>8</v>
      </c>
      <c r="F113" s="58" t="s">
        <v>18</v>
      </c>
      <c r="G113" s="58"/>
      <c r="H113" s="58"/>
      <c r="I113" s="58"/>
      <c r="J113" s="58"/>
      <c r="K113" s="35"/>
      <c r="L113" s="35"/>
      <c r="M113" s="35"/>
      <c r="N113" s="35"/>
      <c r="O113" s="35"/>
      <c r="P113" s="35"/>
      <c r="Q113" s="35">
        <v>28120</v>
      </c>
      <c r="R113" s="35">
        <v>750</v>
      </c>
      <c r="S113" s="35">
        <v>844</v>
      </c>
      <c r="T113" s="35"/>
      <c r="U113" s="35"/>
      <c r="V113" s="35"/>
      <c r="W113" s="35">
        <f t="shared" si="103"/>
        <v>29714</v>
      </c>
      <c r="X113" s="35"/>
      <c r="Y113" s="35"/>
      <c r="Z113" s="35"/>
      <c r="AA113" s="35"/>
      <c r="AB113" s="35"/>
      <c r="AC113" s="35"/>
      <c r="AD113" s="35">
        <v>28120</v>
      </c>
      <c r="AE113" s="35">
        <v>750</v>
      </c>
      <c r="AF113" s="35">
        <v>844</v>
      </c>
      <c r="AG113" s="35"/>
      <c r="AH113" s="35"/>
      <c r="AI113" s="35"/>
      <c r="AJ113" s="35">
        <f t="shared" si="97"/>
        <v>29714</v>
      </c>
      <c r="AK113" s="35"/>
      <c r="AL113" s="35"/>
      <c r="AM113" s="35"/>
      <c r="AN113" s="35"/>
      <c r="AO113" s="35"/>
      <c r="AP113" s="35"/>
      <c r="AQ113" s="35">
        <v>28120</v>
      </c>
      <c r="AR113" s="35">
        <v>750</v>
      </c>
      <c r="AS113" s="35">
        <v>844</v>
      </c>
      <c r="AT113" s="35"/>
      <c r="AU113" s="35"/>
      <c r="AV113" s="35"/>
      <c r="AW113" s="35">
        <f t="shared" si="98"/>
        <v>29714</v>
      </c>
      <c r="AX113" s="35">
        <f t="shared" si="96"/>
        <v>89142</v>
      </c>
      <c r="AY113" s="35"/>
      <c r="AZ113" s="35"/>
      <c r="BA113" s="35"/>
      <c r="BB113" s="35"/>
      <c r="BC113" s="35"/>
      <c r="BD113" s="35"/>
      <c r="BE113" s="35">
        <v>28120</v>
      </c>
      <c r="BF113" s="35">
        <v>750</v>
      </c>
      <c r="BG113" s="35">
        <v>844</v>
      </c>
      <c r="BH113" s="35"/>
      <c r="BI113" s="35"/>
      <c r="BJ113" s="35"/>
      <c r="BK113" s="35">
        <f t="shared" si="104"/>
        <v>29714</v>
      </c>
      <c r="BL113" s="35"/>
      <c r="BM113" s="35"/>
      <c r="BN113" s="35"/>
      <c r="BO113" s="35"/>
      <c r="BP113" s="35"/>
      <c r="BQ113" s="35"/>
      <c r="BR113" s="35">
        <v>28120</v>
      </c>
      <c r="BS113" s="35">
        <v>750</v>
      </c>
      <c r="BT113" s="35">
        <v>844</v>
      </c>
      <c r="BU113" s="35"/>
      <c r="BV113" s="35"/>
      <c r="BW113" s="35"/>
      <c r="BX113" s="35">
        <f t="shared" si="99"/>
        <v>29714</v>
      </c>
      <c r="BY113" s="35"/>
      <c r="BZ113" s="35"/>
      <c r="CA113" s="35"/>
      <c r="CB113" s="35"/>
      <c r="CC113" s="35"/>
      <c r="CD113" s="35"/>
      <c r="CE113" s="35">
        <v>28120</v>
      </c>
      <c r="CF113" s="35">
        <v>750</v>
      </c>
      <c r="CG113" s="35">
        <v>844</v>
      </c>
      <c r="CH113" s="35"/>
      <c r="CI113" s="35"/>
      <c r="CJ113" s="35"/>
      <c r="CK113" s="35">
        <f t="shared" si="100"/>
        <v>29714</v>
      </c>
      <c r="CL113" s="35">
        <f t="shared" si="105"/>
        <v>89142</v>
      </c>
      <c r="CM113" s="35"/>
      <c r="CN113" s="35"/>
      <c r="CO113" s="35"/>
      <c r="CP113" s="35"/>
      <c r="CQ113" s="35"/>
      <c r="CR113" s="35"/>
      <c r="CS113" s="35">
        <v>29530</v>
      </c>
      <c r="CT113" s="35">
        <v>750</v>
      </c>
      <c r="CU113" s="35">
        <v>886</v>
      </c>
      <c r="CV113" s="35"/>
      <c r="CW113" s="35"/>
      <c r="CX113" s="35"/>
      <c r="CY113" s="35">
        <f t="shared" si="106"/>
        <v>31166</v>
      </c>
      <c r="CZ113" s="35"/>
      <c r="DA113" s="35"/>
      <c r="DB113" s="35"/>
      <c r="DC113" s="35"/>
      <c r="DD113" s="35"/>
      <c r="DE113" s="35"/>
      <c r="DF113" s="35">
        <f>8460+29530</f>
        <v>37990</v>
      </c>
      <c r="DG113" s="35">
        <v>750</v>
      </c>
      <c r="DH113" s="35">
        <f>252+886</f>
        <v>1138</v>
      </c>
      <c r="DI113" s="35"/>
      <c r="DJ113" s="35"/>
      <c r="DK113" s="35"/>
      <c r="DL113" s="35">
        <f t="shared" si="101"/>
        <v>39878</v>
      </c>
      <c r="DM113" s="35"/>
      <c r="DN113" s="35"/>
      <c r="DO113" s="35"/>
      <c r="DP113" s="35"/>
      <c r="DQ113" s="35"/>
      <c r="DR113" s="35"/>
      <c r="DS113" s="35">
        <v>29530</v>
      </c>
      <c r="DT113" s="35">
        <v>750</v>
      </c>
      <c r="DU113" s="35">
        <v>886</v>
      </c>
      <c r="DV113" s="35"/>
      <c r="DW113" s="35"/>
      <c r="DX113" s="35"/>
      <c r="DY113" s="35">
        <f t="shared" si="107"/>
        <v>31166</v>
      </c>
      <c r="DZ113" s="35">
        <f t="shared" si="108"/>
        <v>102210</v>
      </c>
      <c r="EA113" s="35"/>
      <c r="EB113" s="35"/>
      <c r="EC113" s="35"/>
      <c r="ED113" s="35"/>
      <c r="EE113" s="35"/>
      <c r="EF113" s="35"/>
      <c r="EG113" s="35">
        <v>29530</v>
      </c>
      <c r="EH113" s="35">
        <v>750</v>
      </c>
      <c r="EI113" s="35">
        <v>886</v>
      </c>
      <c r="EJ113" s="35"/>
      <c r="EK113" s="35"/>
      <c r="EL113" s="35"/>
      <c r="EM113" s="35">
        <f t="shared" si="109"/>
        <v>31166</v>
      </c>
      <c r="EN113" s="35"/>
      <c r="EO113" s="35"/>
      <c r="EP113" s="35"/>
      <c r="EQ113" s="35"/>
      <c r="ER113" s="35"/>
      <c r="ES113" s="35"/>
      <c r="ET113" s="35">
        <v>29530</v>
      </c>
      <c r="EU113" s="35">
        <v>750</v>
      </c>
      <c r="EV113" s="35">
        <v>886</v>
      </c>
      <c r="EW113" s="35"/>
      <c r="EX113" s="35"/>
      <c r="EY113" s="35"/>
      <c r="EZ113" s="35">
        <f t="shared" si="102"/>
        <v>31166</v>
      </c>
      <c r="FA113" s="35"/>
      <c r="FB113" s="35"/>
      <c r="FC113" s="35"/>
      <c r="FD113" s="35"/>
      <c r="FE113" s="35"/>
      <c r="FF113" s="35"/>
      <c r="FG113" s="35">
        <v>29530</v>
      </c>
      <c r="FH113" s="35">
        <v>750</v>
      </c>
      <c r="FI113" s="35">
        <v>886</v>
      </c>
      <c r="FJ113" s="35"/>
      <c r="FK113" s="35"/>
      <c r="FL113" s="35"/>
      <c r="FM113" s="35">
        <f t="shared" si="110"/>
        <v>31166</v>
      </c>
      <c r="FN113" s="35">
        <f t="shared" si="111"/>
        <v>93498</v>
      </c>
      <c r="FO113" s="35">
        <f t="shared" si="112"/>
        <v>373992</v>
      </c>
    </row>
    <row r="114" spans="1:171" x14ac:dyDescent="0.35">
      <c r="A114" s="34"/>
      <c r="B114" s="40"/>
      <c r="C114" s="58"/>
      <c r="D114" s="79" t="s">
        <v>199</v>
      </c>
      <c r="E114" s="58" t="s">
        <v>8</v>
      </c>
      <c r="F114" s="58" t="s">
        <v>18</v>
      </c>
      <c r="G114" s="58"/>
      <c r="H114" s="58"/>
      <c r="I114" s="58"/>
      <c r="J114" s="58"/>
      <c r="K114" s="35"/>
      <c r="L114" s="35"/>
      <c r="M114" s="35"/>
      <c r="N114" s="35"/>
      <c r="O114" s="35"/>
      <c r="P114" s="35"/>
      <c r="Q114" s="35">
        <v>28120</v>
      </c>
      <c r="R114" s="35">
        <v>750</v>
      </c>
      <c r="S114" s="35">
        <v>844</v>
      </c>
      <c r="T114" s="35"/>
      <c r="U114" s="35"/>
      <c r="V114" s="35"/>
      <c r="W114" s="35">
        <f t="shared" si="103"/>
        <v>29714</v>
      </c>
      <c r="X114" s="35"/>
      <c r="Y114" s="35"/>
      <c r="Z114" s="35"/>
      <c r="AA114" s="35"/>
      <c r="AB114" s="35"/>
      <c r="AC114" s="35"/>
      <c r="AD114" s="35">
        <v>28120</v>
      </c>
      <c r="AE114" s="35">
        <v>750</v>
      </c>
      <c r="AF114" s="35">
        <v>844</v>
      </c>
      <c r="AG114" s="35"/>
      <c r="AH114" s="35"/>
      <c r="AI114" s="35"/>
      <c r="AJ114" s="35">
        <f t="shared" ref="AJ114:AJ152" si="159">SUM(X114:AI114)</f>
        <v>29714</v>
      </c>
      <c r="AK114" s="35"/>
      <c r="AL114" s="35"/>
      <c r="AM114" s="35"/>
      <c r="AN114" s="35"/>
      <c r="AO114" s="35"/>
      <c r="AP114" s="35"/>
      <c r="AQ114" s="35">
        <v>28120</v>
      </c>
      <c r="AR114" s="35">
        <v>750</v>
      </c>
      <c r="AS114" s="35">
        <v>844</v>
      </c>
      <c r="AT114" s="35"/>
      <c r="AU114" s="35"/>
      <c r="AV114" s="35"/>
      <c r="AW114" s="35">
        <f t="shared" ref="AW114:AW152" si="160">SUM(AK114:AV114)</f>
        <v>29714</v>
      </c>
      <c r="AX114" s="35">
        <f t="shared" si="96"/>
        <v>89142</v>
      </c>
      <c r="AY114" s="35"/>
      <c r="AZ114" s="35"/>
      <c r="BA114" s="35"/>
      <c r="BB114" s="35"/>
      <c r="BC114" s="35"/>
      <c r="BD114" s="35"/>
      <c r="BE114" s="35">
        <v>28120</v>
      </c>
      <c r="BF114" s="35">
        <v>750</v>
      </c>
      <c r="BG114" s="35">
        <v>844</v>
      </c>
      <c r="BH114" s="35"/>
      <c r="BI114" s="35"/>
      <c r="BJ114" s="35"/>
      <c r="BK114" s="35">
        <f t="shared" si="104"/>
        <v>29714</v>
      </c>
      <c r="BL114" s="35"/>
      <c r="BM114" s="35"/>
      <c r="BN114" s="35"/>
      <c r="BO114" s="35"/>
      <c r="BP114" s="35"/>
      <c r="BQ114" s="35"/>
      <c r="BR114" s="35">
        <v>28120</v>
      </c>
      <c r="BS114" s="35">
        <v>750</v>
      </c>
      <c r="BT114" s="35">
        <v>844</v>
      </c>
      <c r="BU114" s="35"/>
      <c r="BV114" s="35"/>
      <c r="BW114" s="35"/>
      <c r="BX114" s="35">
        <f t="shared" si="99"/>
        <v>29714</v>
      </c>
      <c r="BY114" s="35"/>
      <c r="BZ114" s="35"/>
      <c r="CA114" s="35"/>
      <c r="CB114" s="35"/>
      <c r="CC114" s="35"/>
      <c r="CD114" s="35"/>
      <c r="CE114" s="35">
        <v>28120</v>
      </c>
      <c r="CF114" s="35">
        <v>750</v>
      </c>
      <c r="CG114" s="35">
        <v>844</v>
      </c>
      <c r="CH114" s="35"/>
      <c r="CI114" s="35"/>
      <c r="CJ114" s="35"/>
      <c r="CK114" s="35">
        <f t="shared" si="100"/>
        <v>29714</v>
      </c>
      <c r="CL114" s="35">
        <f t="shared" si="105"/>
        <v>89142</v>
      </c>
      <c r="CM114" s="35"/>
      <c r="CN114" s="35"/>
      <c r="CO114" s="35"/>
      <c r="CP114" s="35"/>
      <c r="CQ114" s="35"/>
      <c r="CR114" s="35"/>
      <c r="CS114" s="35">
        <v>29530</v>
      </c>
      <c r="CT114" s="35">
        <v>750</v>
      </c>
      <c r="CU114" s="35">
        <v>886</v>
      </c>
      <c r="CV114" s="35"/>
      <c r="CW114" s="35"/>
      <c r="CX114" s="35"/>
      <c r="CY114" s="35">
        <f t="shared" si="106"/>
        <v>31166</v>
      </c>
      <c r="CZ114" s="35"/>
      <c r="DA114" s="35"/>
      <c r="DB114" s="35"/>
      <c r="DC114" s="35"/>
      <c r="DD114" s="35"/>
      <c r="DE114" s="35"/>
      <c r="DF114" s="35">
        <f>8460+29530</f>
        <v>37990</v>
      </c>
      <c r="DG114" s="35">
        <v>750</v>
      </c>
      <c r="DH114" s="35">
        <f>252+886</f>
        <v>1138</v>
      </c>
      <c r="DI114" s="35"/>
      <c r="DJ114" s="35"/>
      <c r="DK114" s="35"/>
      <c r="DL114" s="35">
        <f t="shared" si="101"/>
        <v>39878</v>
      </c>
      <c r="DM114" s="35"/>
      <c r="DN114" s="35"/>
      <c r="DO114" s="35"/>
      <c r="DP114" s="35"/>
      <c r="DQ114" s="35"/>
      <c r="DR114" s="35"/>
      <c r="DS114" s="35">
        <v>29530</v>
      </c>
      <c r="DT114" s="35">
        <v>750</v>
      </c>
      <c r="DU114" s="35">
        <v>886</v>
      </c>
      <c r="DV114" s="35"/>
      <c r="DW114" s="35"/>
      <c r="DX114" s="35"/>
      <c r="DY114" s="35">
        <f t="shared" si="107"/>
        <v>31166</v>
      </c>
      <c r="DZ114" s="35">
        <f t="shared" si="108"/>
        <v>102210</v>
      </c>
      <c r="EA114" s="35"/>
      <c r="EB114" s="35"/>
      <c r="EC114" s="35"/>
      <c r="ED114" s="35"/>
      <c r="EE114" s="35"/>
      <c r="EF114" s="35"/>
      <c r="EG114" s="35">
        <v>29530</v>
      </c>
      <c r="EH114" s="35">
        <v>750</v>
      </c>
      <c r="EI114" s="35">
        <v>886</v>
      </c>
      <c r="EJ114" s="35"/>
      <c r="EK114" s="35"/>
      <c r="EL114" s="35"/>
      <c r="EM114" s="35">
        <f t="shared" si="109"/>
        <v>31166</v>
      </c>
      <c r="EN114" s="35"/>
      <c r="EO114" s="35"/>
      <c r="EP114" s="35"/>
      <c r="EQ114" s="35"/>
      <c r="ER114" s="35"/>
      <c r="ES114" s="35"/>
      <c r="ET114" s="35">
        <v>29530</v>
      </c>
      <c r="EU114" s="35">
        <v>750</v>
      </c>
      <c r="EV114" s="35">
        <v>886</v>
      </c>
      <c r="EW114" s="35"/>
      <c r="EX114" s="35"/>
      <c r="EY114" s="35"/>
      <c r="EZ114" s="35">
        <f t="shared" si="102"/>
        <v>31166</v>
      </c>
      <c r="FA114" s="35"/>
      <c r="FB114" s="35"/>
      <c r="FC114" s="35"/>
      <c r="FD114" s="35"/>
      <c r="FE114" s="35"/>
      <c r="FF114" s="35"/>
      <c r="FG114" s="35">
        <v>29530</v>
      </c>
      <c r="FH114" s="35">
        <v>750</v>
      </c>
      <c r="FI114" s="35">
        <v>886</v>
      </c>
      <c r="FJ114" s="35"/>
      <c r="FK114" s="35"/>
      <c r="FL114" s="35"/>
      <c r="FM114" s="35">
        <f t="shared" si="110"/>
        <v>31166</v>
      </c>
      <c r="FN114" s="35">
        <f t="shared" si="111"/>
        <v>93498</v>
      </c>
      <c r="FO114" s="35">
        <f t="shared" si="112"/>
        <v>373992</v>
      </c>
    </row>
    <row r="115" spans="1:171" x14ac:dyDescent="0.35">
      <c r="A115" s="34"/>
      <c r="B115" s="40"/>
      <c r="C115" s="58"/>
      <c r="D115" s="79" t="s">
        <v>200</v>
      </c>
      <c r="E115" s="58" t="s">
        <v>8</v>
      </c>
      <c r="F115" s="58" t="s">
        <v>18</v>
      </c>
      <c r="G115" s="58"/>
      <c r="H115" s="58"/>
      <c r="I115" s="58"/>
      <c r="J115" s="58"/>
      <c r="K115" s="35"/>
      <c r="L115" s="35"/>
      <c r="M115" s="35"/>
      <c r="N115" s="35"/>
      <c r="O115" s="35"/>
      <c r="P115" s="35"/>
      <c r="Q115" s="35">
        <v>27300</v>
      </c>
      <c r="R115" s="35">
        <v>750</v>
      </c>
      <c r="S115" s="35">
        <v>819</v>
      </c>
      <c r="T115" s="35"/>
      <c r="U115" s="35"/>
      <c r="V115" s="35"/>
      <c r="W115" s="35">
        <f t="shared" ref="W115:W152" si="161">SUM(K115:V115)</f>
        <v>28869</v>
      </c>
      <c r="X115" s="35"/>
      <c r="Y115" s="35"/>
      <c r="Z115" s="35"/>
      <c r="AA115" s="35"/>
      <c r="AB115" s="35"/>
      <c r="AC115" s="35"/>
      <c r="AD115" s="35">
        <v>27300</v>
      </c>
      <c r="AE115" s="35">
        <v>750</v>
      </c>
      <c r="AF115" s="35">
        <v>819</v>
      </c>
      <c r="AG115" s="35"/>
      <c r="AH115" s="35"/>
      <c r="AI115" s="35"/>
      <c r="AJ115" s="35">
        <f t="shared" si="159"/>
        <v>28869</v>
      </c>
      <c r="AK115" s="35"/>
      <c r="AL115" s="35"/>
      <c r="AM115" s="35"/>
      <c r="AN115" s="35"/>
      <c r="AO115" s="35"/>
      <c r="AP115" s="35"/>
      <c r="AQ115" s="35">
        <v>27300</v>
      </c>
      <c r="AR115" s="35">
        <v>750</v>
      </c>
      <c r="AS115" s="35">
        <v>819</v>
      </c>
      <c r="AT115" s="35"/>
      <c r="AU115" s="35"/>
      <c r="AV115" s="35"/>
      <c r="AW115" s="35">
        <f t="shared" si="160"/>
        <v>28869</v>
      </c>
      <c r="AX115" s="35">
        <f t="shared" si="96"/>
        <v>86607</v>
      </c>
      <c r="AY115" s="35"/>
      <c r="AZ115" s="35"/>
      <c r="BA115" s="35"/>
      <c r="BB115" s="35"/>
      <c r="BC115" s="35"/>
      <c r="BD115" s="35"/>
      <c r="BE115" s="35">
        <v>27300</v>
      </c>
      <c r="BF115" s="35">
        <v>750</v>
      </c>
      <c r="BG115" s="35">
        <v>819</v>
      </c>
      <c r="BH115" s="35"/>
      <c r="BI115" s="35"/>
      <c r="BJ115" s="35"/>
      <c r="BK115" s="35">
        <f t="shared" ref="BK115:BK151" si="162">SUM(AY115:BJ115)</f>
        <v>28869</v>
      </c>
      <c r="BL115" s="35"/>
      <c r="BM115" s="35"/>
      <c r="BN115" s="35"/>
      <c r="BO115" s="35"/>
      <c r="BP115" s="35"/>
      <c r="BQ115" s="35"/>
      <c r="BR115" s="35">
        <v>27300</v>
      </c>
      <c r="BS115" s="35">
        <v>750</v>
      </c>
      <c r="BT115" s="35">
        <v>819</v>
      </c>
      <c r="BU115" s="35"/>
      <c r="BV115" s="35"/>
      <c r="BW115" s="35"/>
      <c r="BX115" s="35">
        <f t="shared" si="99"/>
        <v>28869</v>
      </c>
      <c r="BY115" s="35"/>
      <c r="BZ115" s="35"/>
      <c r="CA115" s="35"/>
      <c r="CB115" s="35"/>
      <c r="CC115" s="35"/>
      <c r="CD115" s="35"/>
      <c r="CE115" s="35">
        <v>27300</v>
      </c>
      <c r="CF115" s="35">
        <v>750</v>
      </c>
      <c r="CG115" s="35">
        <v>819</v>
      </c>
      <c r="CH115" s="35"/>
      <c r="CI115" s="35"/>
      <c r="CJ115" s="35"/>
      <c r="CK115" s="35">
        <f t="shared" si="100"/>
        <v>28869</v>
      </c>
      <c r="CL115" s="35">
        <f t="shared" si="105"/>
        <v>86607</v>
      </c>
      <c r="CM115" s="35"/>
      <c r="CN115" s="35"/>
      <c r="CO115" s="35"/>
      <c r="CP115" s="35"/>
      <c r="CQ115" s="35"/>
      <c r="CR115" s="35"/>
      <c r="CS115" s="35">
        <v>28620</v>
      </c>
      <c r="CT115" s="35">
        <v>750</v>
      </c>
      <c r="CU115" s="35">
        <v>859</v>
      </c>
      <c r="CV115" s="35"/>
      <c r="CW115" s="35"/>
      <c r="CX115" s="35"/>
      <c r="CY115" s="35">
        <f t="shared" si="106"/>
        <v>30229</v>
      </c>
      <c r="CZ115" s="35"/>
      <c r="DA115" s="35"/>
      <c r="DB115" s="35"/>
      <c r="DC115" s="35"/>
      <c r="DD115" s="35"/>
      <c r="DE115" s="35"/>
      <c r="DF115" s="35">
        <f>7920+28620</f>
        <v>36540</v>
      </c>
      <c r="DG115" s="35">
        <v>750</v>
      </c>
      <c r="DH115" s="35">
        <f>240+859</f>
        <v>1099</v>
      </c>
      <c r="DI115" s="35"/>
      <c r="DJ115" s="35"/>
      <c r="DK115" s="35"/>
      <c r="DL115" s="35">
        <f t="shared" si="101"/>
        <v>38389</v>
      </c>
      <c r="DM115" s="35"/>
      <c r="DN115" s="35"/>
      <c r="DO115" s="35"/>
      <c r="DP115" s="35"/>
      <c r="DQ115" s="35"/>
      <c r="DR115" s="35"/>
      <c r="DS115" s="35">
        <v>28620</v>
      </c>
      <c r="DT115" s="35">
        <v>750</v>
      </c>
      <c r="DU115" s="35">
        <v>859</v>
      </c>
      <c r="DV115" s="35"/>
      <c r="DW115" s="35"/>
      <c r="DX115" s="35"/>
      <c r="DY115" s="35">
        <f t="shared" si="107"/>
        <v>30229</v>
      </c>
      <c r="DZ115" s="35">
        <f t="shared" si="108"/>
        <v>98847</v>
      </c>
      <c r="EA115" s="35"/>
      <c r="EB115" s="35"/>
      <c r="EC115" s="35"/>
      <c r="ED115" s="35"/>
      <c r="EE115" s="35"/>
      <c r="EF115" s="35"/>
      <c r="EG115" s="35">
        <v>28620</v>
      </c>
      <c r="EH115" s="35">
        <v>750</v>
      </c>
      <c r="EI115" s="35">
        <v>859</v>
      </c>
      <c r="EJ115" s="35"/>
      <c r="EK115" s="35"/>
      <c r="EL115" s="35"/>
      <c r="EM115" s="35">
        <f t="shared" si="109"/>
        <v>30229</v>
      </c>
      <c r="EN115" s="35"/>
      <c r="EO115" s="35"/>
      <c r="EP115" s="35"/>
      <c r="EQ115" s="35"/>
      <c r="ER115" s="35"/>
      <c r="ES115" s="35"/>
      <c r="ET115" s="35">
        <v>28620</v>
      </c>
      <c r="EU115" s="35">
        <v>750</v>
      </c>
      <c r="EV115" s="35">
        <v>859</v>
      </c>
      <c r="EW115" s="35"/>
      <c r="EX115" s="35"/>
      <c r="EY115" s="35"/>
      <c r="EZ115" s="35">
        <f t="shared" si="102"/>
        <v>30229</v>
      </c>
      <c r="FA115" s="35"/>
      <c r="FB115" s="35"/>
      <c r="FC115" s="35"/>
      <c r="FD115" s="35"/>
      <c r="FE115" s="35"/>
      <c r="FF115" s="35"/>
      <c r="FG115" s="35">
        <v>28620</v>
      </c>
      <c r="FH115" s="35">
        <v>750</v>
      </c>
      <c r="FI115" s="35">
        <v>859</v>
      </c>
      <c r="FJ115" s="35"/>
      <c r="FK115" s="35"/>
      <c r="FL115" s="35"/>
      <c r="FM115" s="35">
        <f t="shared" si="110"/>
        <v>30229</v>
      </c>
      <c r="FN115" s="35">
        <f t="shared" si="111"/>
        <v>90687</v>
      </c>
      <c r="FO115" s="35">
        <f t="shared" si="112"/>
        <v>362748</v>
      </c>
    </row>
    <row r="116" spans="1:171" x14ac:dyDescent="0.35">
      <c r="A116" s="34"/>
      <c r="B116" s="40"/>
      <c r="C116" s="58"/>
      <c r="D116" s="79" t="s">
        <v>201</v>
      </c>
      <c r="E116" s="58" t="s">
        <v>8</v>
      </c>
      <c r="F116" s="58" t="s">
        <v>18</v>
      </c>
      <c r="G116" s="58"/>
      <c r="H116" s="58"/>
      <c r="I116" s="58"/>
      <c r="J116" s="58"/>
      <c r="K116" s="35"/>
      <c r="L116" s="35"/>
      <c r="M116" s="35"/>
      <c r="N116" s="35"/>
      <c r="O116" s="35"/>
      <c r="P116" s="35"/>
      <c r="Q116" s="35">
        <v>32760</v>
      </c>
      <c r="R116" s="35">
        <v>750</v>
      </c>
      <c r="S116" s="35">
        <v>0</v>
      </c>
      <c r="T116" s="35"/>
      <c r="U116" s="35"/>
      <c r="V116" s="35"/>
      <c r="W116" s="35">
        <f t="shared" si="161"/>
        <v>33510</v>
      </c>
      <c r="X116" s="35"/>
      <c r="Y116" s="35"/>
      <c r="Z116" s="35"/>
      <c r="AA116" s="35"/>
      <c r="AB116" s="35"/>
      <c r="AC116" s="35"/>
      <c r="AD116" s="35">
        <v>32760</v>
      </c>
      <c r="AE116" s="35">
        <v>750</v>
      </c>
      <c r="AF116" s="35">
        <v>0</v>
      </c>
      <c r="AG116" s="35"/>
      <c r="AH116" s="35"/>
      <c r="AI116" s="35"/>
      <c r="AJ116" s="35">
        <f t="shared" si="159"/>
        <v>33510</v>
      </c>
      <c r="AK116" s="35"/>
      <c r="AL116" s="35"/>
      <c r="AM116" s="35"/>
      <c r="AN116" s="35"/>
      <c r="AO116" s="35"/>
      <c r="AP116" s="35"/>
      <c r="AQ116" s="35">
        <v>32760</v>
      </c>
      <c r="AR116" s="35">
        <v>750</v>
      </c>
      <c r="AS116" s="35">
        <v>0</v>
      </c>
      <c r="AT116" s="35"/>
      <c r="AU116" s="35"/>
      <c r="AV116" s="35"/>
      <c r="AW116" s="35">
        <f t="shared" si="160"/>
        <v>33510</v>
      </c>
      <c r="AX116" s="35">
        <f t="shared" si="96"/>
        <v>100530</v>
      </c>
      <c r="AY116" s="35"/>
      <c r="AZ116" s="35"/>
      <c r="BA116" s="35"/>
      <c r="BB116" s="35"/>
      <c r="BC116" s="35"/>
      <c r="BD116" s="35"/>
      <c r="BE116" s="35">
        <v>32760</v>
      </c>
      <c r="BF116" s="35">
        <v>750</v>
      </c>
      <c r="BG116" s="35">
        <v>0</v>
      </c>
      <c r="BH116" s="35"/>
      <c r="BI116" s="35"/>
      <c r="BJ116" s="35"/>
      <c r="BK116" s="35">
        <f t="shared" si="162"/>
        <v>33510</v>
      </c>
      <c r="BL116" s="35"/>
      <c r="BM116" s="35"/>
      <c r="BN116" s="35"/>
      <c r="BO116" s="35"/>
      <c r="BP116" s="35"/>
      <c r="BQ116" s="35"/>
      <c r="BR116" s="35">
        <v>32760</v>
      </c>
      <c r="BS116" s="35">
        <v>750</v>
      </c>
      <c r="BT116" s="35">
        <v>0</v>
      </c>
      <c r="BU116" s="35"/>
      <c r="BV116" s="35"/>
      <c r="BW116" s="35"/>
      <c r="BX116" s="35">
        <f t="shared" si="99"/>
        <v>33510</v>
      </c>
      <c r="BY116" s="35"/>
      <c r="BZ116" s="35"/>
      <c r="CA116" s="35"/>
      <c r="CB116" s="35"/>
      <c r="CC116" s="35"/>
      <c r="CD116" s="35"/>
      <c r="CE116" s="35">
        <v>32760</v>
      </c>
      <c r="CF116" s="35">
        <v>750</v>
      </c>
      <c r="CG116" s="35">
        <v>0</v>
      </c>
      <c r="CH116" s="35"/>
      <c r="CI116" s="35"/>
      <c r="CJ116" s="35"/>
      <c r="CK116" s="35">
        <f t="shared" si="100"/>
        <v>33510</v>
      </c>
      <c r="CL116" s="35">
        <f t="shared" si="105"/>
        <v>100530</v>
      </c>
      <c r="CM116" s="35"/>
      <c r="CN116" s="35"/>
      <c r="CO116" s="35"/>
      <c r="CP116" s="35"/>
      <c r="CQ116" s="35"/>
      <c r="CR116" s="35"/>
      <c r="CS116" s="35">
        <v>34400</v>
      </c>
      <c r="CT116" s="35">
        <v>750</v>
      </c>
      <c r="CU116" s="35">
        <v>0</v>
      </c>
      <c r="CV116" s="35"/>
      <c r="CW116" s="35"/>
      <c r="CX116" s="35"/>
      <c r="CY116" s="35">
        <f t="shared" si="106"/>
        <v>35150</v>
      </c>
      <c r="CZ116" s="35"/>
      <c r="DA116" s="35"/>
      <c r="DB116" s="35"/>
      <c r="DC116" s="35"/>
      <c r="DD116" s="35"/>
      <c r="DE116" s="35"/>
      <c r="DF116" s="35">
        <f>9840+34400</f>
        <v>44240</v>
      </c>
      <c r="DG116" s="35">
        <v>750</v>
      </c>
      <c r="DH116" s="35">
        <v>0</v>
      </c>
      <c r="DI116" s="35"/>
      <c r="DJ116" s="35"/>
      <c r="DK116" s="35"/>
      <c r="DL116" s="35">
        <f t="shared" si="101"/>
        <v>44990</v>
      </c>
      <c r="DM116" s="35"/>
      <c r="DN116" s="35"/>
      <c r="DO116" s="35"/>
      <c r="DP116" s="35"/>
      <c r="DQ116" s="35"/>
      <c r="DR116" s="35"/>
      <c r="DS116" s="35">
        <v>34400</v>
      </c>
      <c r="DT116" s="35">
        <v>750</v>
      </c>
      <c r="DU116" s="35">
        <v>0</v>
      </c>
      <c r="DV116" s="35"/>
      <c r="DW116" s="35"/>
      <c r="DX116" s="35"/>
      <c r="DY116" s="35">
        <f t="shared" si="107"/>
        <v>35150</v>
      </c>
      <c r="DZ116" s="35">
        <f t="shared" si="108"/>
        <v>115290</v>
      </c>
      <c r="EA116" s="35"/>
      <c r="EB116" s="35"/>
      <c r="EC116" s="35"/>
      <c r="ED116" s="35"/>
      <c r="EE116" s="35"/>
      <c r="EF116" s="35"/>
      <c r="EG116" s="35">
        <v>34400</v>
      </c>
      <c r="EH116" s="35">
        <v>750</v>
      </c>
      <c r="EI116" s="35">
        <v>0</v>
      </c>
      <c r="EJ116" s="35"/>
      <c r="EK116" s="35"/>
      <c r="EL116" s="35"/>
      <c r="EM116" s="35">
        <f t="shared" si="109"/>
        <v>35150</v>
      </c>
      <c r="EN116" s="35"/>
      <c r="EO116" s="35"/>
      <c r="EP116" s="35"/>
      <c r="EQ116" s="35"/>
      <c r="ER116" s="35"/>
      <c r="ES116" s="35"/>
      <c r="ET116" s="35">
        <v>34400</v>
      </c>
      <c r="EU116" s="35">
        <v>750</v>
      </c>
      <c r="EV116" s="35">
        <v>0</v>
      </c>
      <c r="EW116" s="35"/>
      <c r="EX116" s="35"/>
      <c r="EY116" s="35"/>
      <c r="EZ116" s="35">
        <f t="shared" si="102"/>
        <v>35150</v>
      </c>
      <c r="FA116" s="35"/>
      <c r="FB116" s="35"/>
      <c r="FC116" s="35"/>
      <c r="FD116" s="35"/>
      <c r="FE116" s="35"/>
      <c r="FF116" s="35"/>
      <c r="FG116" s="35">
        <v>34400</v>
      </c>
      <c r="FH116" s="35">
        <v>750</v>
      </c>
      <c r="FI116" s="35">
        <v>0</v>
      </c>
      <c r="FJ116" s="35"/>
      <c r="FK116" s="35"/>
      <c r="FL116" s="35"/>
      <c r="FM116" s="35">
        <f t="shared" si="110"/>
        <v>35150</v>
      </c>
      <c r="FN116" s="35">
        <f t="shared" si="111"/>
        <v>105450</v>
      </c>
      <c r="FO116" s="35">
        <f t="shared" si="112"/>
        <v>421800</v>
      </c>
    </row>
    <row r="117" spans="1:171" x14ac:dyDescent="0.35">
      <c r="A117" s="34"/>
      <c r="B117" s="40"/>
      <c r="C117" s="58"/>
      <c r="D117" s="79" t="s">
        <v>202</v>
      </c>
      <c r="E117" s="58" t="s">
        <v>8</v>
      </c>
      <c r="F117" s="58" t="s">
        <v>18</v>
      </c>
      <c r="G117" s="58"/>
      <c r="H117" s="58"/>
      <c r="I117" s="58"/>
      <c r="J117" s="58"/>
      <c r="K117" s="35"/>
      <c r="L117" s="35"/>
      <c r="M117" s="35"/>
      <c r="N117" s="35"/>
      <c r="O117" s="35"/>
      <c r="P117" s="35"/>
      <c r="Q117" s="35">
        <v>27250</v>
      </c>
      <c r="R117" s="35">
        <v>750</v>
      </c>
      <c r="S117" s="35">
        <v>818</v>
      </c>
      <c r="T117" s="35"/>
      <c r="U117" s="35"/>
      <c r="V117" s="35"/>
      <c r="W117" s="35">
        <f t="shared" si="161"/>
        <v>28818</v>
      </c>
      <c r="X117" s="35"/>
      <c r="Y117" s="35"/>
      <c r="Z117" s="35"/>
      <c r="AA117" s="35"/>
      <c r="AB117" s="35"/>
      <c r="AC117" s="35"/>
      <c r="AD117" s="35">
        <v>27250</v>
      </c>
      <c r="AE117" s="35">
        <v>750</v>
      </c>
      <c r="AF117" s="35">
        <v>818</v>
      </c>
      <c r="AG117" s="35"/>
      <c r="AH117" s="35"/>
      <c r="AI117" s="35"/>
      <c r="AJ117" s="35">
        <f t="shared" si="159"/>
        <v>28818</v>
      </c>
      <c r="AK117" s="35"/>
      <c r="AL117" s="35"/>
      <c r="AM117" s="35"/>
      <c r="AN117" s="35"/>
      <c r="AO117" s="35"/>
      <c r="AP117" s="35"/>
      <c r="AQ117" s="35">
        <v>27250</v>
      </c>
      <c r="AR117" s="35">
        <v>750</v>
      </c>
      <c r="AS117" s="35">
        <v>818</v>
      </c>
      <c r="AT117" s="35"/>
      <c r="AU117" s="35"/>
      <c r="AV117" s="35"/>
      <c r="AW117" s="35">
        <f t="shared" si="160"/>
        <v>28818</v>
      </c>
      <c r="AX117" s="35">
        <f t="shared" si="96"/>
        <v>86454</v>
      </c>
      <c r="AY117" s="35"/>
      <c r="AZ117" s="35"/>
      <c r="BA117" s="35"/>
      <c r="BB117" s="35"/>
      <c r="BC117" s="35"/>
      <c r="BD117" s="35"/>
      <c r="BE117" s="35">
        <v>27250</v>
      </c>
      <c r="BF117" s="35">
        <v>750</v>
      </c>
      <c r="BG117" s="35">
        <v>818</v>
      </c>
      <c r="BH117" s="35"/>
      <c r="BI117" s="35"/>
      <c r="BJ117" s="35"/>
      <c r="BK117" s="35">
        <f t="shared" si="162"/>
        <v>28818</v>
      </c>
      <c r="BL117" s="35"/>
      <c r="BM117" s="35"/>
      <c r="BN117" s="35"/>
      <c r="BO117" s="35"/>
      <c r="BP117" s="35"/>
      <c r="BQ117" s="35"/>
      <c r="BR117" s="35">
        <v>27250</v>
      </c>
      <c r="BS117" s="35">
        <v>750</v>
      </c>
      <c r="BT117" s="35">
        <v>818</v>
      </c>
      <c r="BU117" s="35"/>
      <c r="BV117" s="35"/>
      <c r="BW117" s="35"/>
      <c r="BX117" s="35">
        <f t="shared" si="99"/>
        <v>28818</v>
      </c>
      <c r="BY117" s="35"/>
      <c r="BZ117" s="35"/>
      <c r="CA117" s="35"/>
      <c r="CB117" s="35"/>
      <c r="CC117" s="35"/>
      <c r="CD117" s="35"/>
      <c r="CE117" s="35">
        <v>27250</v>
      </c>
      <c r="CF117" s="35">
        <v>750</v>
      </c>
      <c r="CG117" s="35">
        <v>818</v>
      </c>
      <c r="CH117" s="35"/>
      <c r="CI117" s="35"/>
      <c r="CJ117" s="35"/>
      <c r="CK117" s="35">
        <f t="shared" si="100"/>
        <v>28818</v>
      </c>
      <c r="CL117" s="35">
        <f t="shared" si="105"/>
        <v>86454</v>
      </c>
      <c r="CM117" s="35"/>
      <c r="CN117" s="35"/>
      <c r="CO117" s="35"/>
      <c r="CP117" s="35"/>
      <c r="CQ117" s="35"/>
      <c r="CR117" s="35"/>
      <c r="CS117" s="35">
        <v>28600</v>
      </c>
      <c r="CT117" s="35">
        <v>750</v>
      </c>
      <c r="CU117" s="35">
        <v>858</v>
      </c>
      <c r="CV117" s="35"/>
      <c r="CW117" s="35"/>
      <c r="CX117" s="35"/>
      <c r="CY117" s="35">
        <f t="shared" si="106"/>
        <v>30208</v>
      </c>
      <c r="CZ117" s="35"/>
      <c r="DA117" s="35"/>
      <c r="DB117" s="35"/>
      <c r="DC117" s="35"/>
      <c r="DD117" s="35"/>
      <c r="DE117" s="35"/>
      <c r="DF117" s="35">
        <f>8100+28600</f>
        <v>36700</v>
      </c>
      <c r="DG117" s="35">
        <v>750</v>
      </c>
      <c r="DH117" s="35">
        <f>246+858</f>
        <v>1104</v>
      </c>
      <c r="DI117" s="35"/>
      <c r="DJ117" s="35"/>
      <c r="DK117" s="35"/>
      <c r="DL117" s="35">
        <f t="shared" si="101"/>
        <v>38554</v>
      </c>
      <c r="DM117" s="35"/>
      <c r="DN117" s="35"/>
      <c r="DO117" s="35"/>
      <c r="DP117" s="35"/>
      <c r="DQ117" s="35"/>
      <c r="DR117" s="35"/>
      <c r="DS117" s="35">
        <v>28600</v>
      </c>
      <c r="DT117" s="35">
        <v>750</v>
      </c>
      <c r="DU117" s="35">
        <v>858</v>
      </c>
      <c r="DV117" s="35"/>
      <c r="DW117" s="35"/>
      <c r="DX117" s="35"/>
      <c r="DY117" s="35">
        <f t="shared" si="107"/>
        <v>30208</v>
      </c>
      <c r="DZ117" s="35">
        <f t="shared" si="108"/>
        <v>98970</v>
      </c>
      <c r="EA117" s="35"/>
      <c r="EB117" s="35"/>
      <c r="EC117" s="35"/>
      <c r="ED117" s="35"/>
      <c r="EE117" s="35"/>
      <c r="EF117" s="35"/>
      <c r="EG117" s="35">
        <v>28600</v>
      </c>
      <c r="EH117" s="35">
        <v>750</v>
      </c>
      <c r="EI117" s="35">
        <v>858</v>
      </c>
      <c r="EJ117" s="35"/>
      <c r="EK117" s="35"/>
      <c r="EL117" s="35"/>
      <c r="EM117" s="35">
        <f t="shared" si="109"/>
        <v>30208</v>
      </c>
      <c r="EN117" s="35"/>
      <c r="EO117" s="35"/>
      <c r="EP117" s="35"/>
      <c r="EQ117" s="35"/>
      <c r="ER117" s="35"/>
      <c r="ES117" s="35"/>
      <c r="ET117" s="35">
        <v>28600</v>
      </c>
      <c r="EU117" s="35">
        <v>750</v>
      </c>
      <c r="EV117" s="35">
        <v>858</v>
      </c>
      <c r="EW117" s="35"/>
      <c r="EX117" s="35"/>
      <c r="EY117" s="35"/>
      <c r="EZ117" s="35">
        <f t="shared" si="102"/>
        <v>30208</v>
      </c>
      <c r="FA117" s="35"/>
      <c r="FB117" s="35"/>
      <c r="FC117" s="35"/>
      <c r="FD117" s="35"/>
      <c r="FE117" s="35"/>
      <c r="FF117" s="35"/>
      <c r="FG117" s="35">
        <v>28600</v>
      </c>
      <c r="FH117" s="35">
        <v>750</v>
      </c>
      <c r="FI117" s="35">
        <v>858</v>
      </c>
      <c r="FJ117" s="35"/>
      <c r="FK117" s="35"/>
      <c r="FL117" s="35"/>
      <c r="FM117" s="35">
        <f t="shared" si="110"/>
        <v>30208</v>
      </c>
      <c r="FN117" s="35">
        <f t="shared" si="111"/>
        <v>90624</v>
      </c>
      <c r="FO117" s="35">
        <f t="shared" si="112"/>
        <v>362502</v>
      </c>
    </row>
    <row r="118" spans="1:171" x14ac:dyDescent="0.35">
      <c r="A118" s="34"/>
      <c r="B118" s="40"/>
      <c r="C118" s="58"/>
      <c r="D118" s="79" t="s">
        <v>238</v>
      </c>
      <c r="E118" s="58" t="s">
        <v>8</v>
      </c>
      <c r="F118" s="58" t="s">
        <v>18</v>
      </c>
      <c r="G118" s="58"/>
      <c r="H118" s="58"/>
      <c r="I118" s="58"/>
      <c r="J118" s="58"/>
      <c r="K118" s="35"/>
      <c r="L118" s="35"/>
      <c r="M118" s="35"/>
      <c r="N118" s="35"/>
      <c r="O118" s="35"/>
      <c r="P118" s="35"/>
      <c r="Q118" s="35">
        <v>27010</v>
      </c>
      <c r="R118" s="35">
        <v>750</v>
      </c>
      <c r="S118" s="35">
        <v>810</v>
      </c>
      <c r="T118" s="35"/>
      <c r="U118" s="35"/>
      <c r="V118" s="35"/>
      <c r="W118" s="35">
        <f t="shared" ref="W118:W120" si="163">SUM(K118:V118)</f>
        <v>28570</v>
      </c>
      <c r="X118" s="35"/>
      <c r="Y118" s="35"/>
      <c r="Z118" s="35"/>
      <c r="AA118" s="35"/>
      <c r="AB118" s="35"/>
      <c r="AC118" s="35"/>
      <c r="AD118" s="35">
        <v>27010</v>
      </c>
      <c r="AE118" s="35">
        <v>750</v>
      </c>
      <c r="AF118" s="35">
        <v>810</v>
      </c>
      <c r="AG118" s="35"/>
      <c r="AH118" s="35"/>
      <c r="AI118" s="35"/>
      <c r="AJ118" s="35">
        <f t="shared" si="159"/>
        <v>28570</v>
      </c>
      <c r="AK118" s="35"/>
      <c r="AL118" s="35"/>
      <c r="AM118" s="35"/>
      <c r="AN118" s="35"/>
      <c r="AO118" s="35"/>
      <c r="AP118" s="35"/>
      <c r="AQ118" s="35">
        <v>27010</v>
      </c>
      <c r="AR118" s="35">
        <v>750</v>
      </c>
      <c r="AS118" s="35">
        <v>810</v>
      </c>
      <c r="AT118" s="35"/>
      <c r="AU118" s="35"/>
      <c r="AV118" s="35"/>
      <c r="AW118" s="35">
        <f t="shared" si="160"/>
        <v>28570</v>
      </c>
      <c r="AX118" s="35">
        <f t="shared" si="96"/>
        <v>85710</v>
      </c>
      <c r="AY118" s="35"/>
      <c r="AZ118" s="35"/>
      <c r="BA118" s="35"/>
      <c r="BB118" s="35"/>
      <c r="BC118" s="35"/>
      <c r="BD118" s="35"/>
      <c r="BE118" s="35">
        <v>27010</v>
      </c>
      <c r="BF118" s="35">
        <v>750</v>
      </c>
      <c r="BG118" s="35">
        <v>810</v>
      </c>
      <c r="BH118" s="35"/>
      <c r="BI118" s="35"/>
      <c r="BJ118" s="35"/>
      <c r="BK118" s="35">
        <f t="shared" ref="BK118:BK120" si="164">SUM(AY118:BJ118)</f>
        <v>28570</v>
      </c>
      <c r="BL118" s="35"/>
      <c r="BM118" s="35"/>
      <c r="BN118" s="35"/>
      <c r="BO118" s="35"/>
      <c r="BP118" s="35"/>
      <c r="BQ118" s="35"/>
      <c r="BR118" s="35">
        <v>27010</v>
      </c>
      <c r="BS118" s="35">
        <v>750</v>
      </c>
      <c r="BT118" s="35">
        <v>810</v>
      </c>
      <c r="BU118" s="35"/>
      <c r="BV118" s="35"/>
      <c r="BW118" s="35"/>
      <c r="BX118" s="35">
        <f t="shared" ref="BX118:BX120" si="165">SUM(BL118:BW118)</f>
        <v>28570</v>
      </c>
      <c r="BY118" s="35"/>
      <c r="BZ118" s="35"/>
      <c r="CA118" s="35"/>
      <c r="CB118" s="35"/>
      <c r="CC118" s="35"/>
      <c r="CD118" s="35"/>
      <c r="CE118" s="35">
        <v>27010</v>
      </c>
      <c r="CF118" s="35">
        <v>750</v>
      </c>
      <c r="CG118" s="35">
        <v>810</v>
      </c>
      <c r="CH118" s="35"/>
      <c r="CI118" s="35"/>
      <c r="CJ118" s="35"/>
      <c r="CK118" s="35">
        <f t="shared" si="100"/>
        <v>28570</v>
      </c>
      <c r="CL118" s="35">
        <f t="shared" si="105"/>
        <v>85710</v>
      </c>
      <c r="CM118" s="35"/>
      <c r="CN118" s="35"/>
      <c r="CO118" s="35"/>
      <c r="CP118" s="35"/>
      <c r="CQ118" s="35"/>
      <c r="CR118" s="35"/>
      <c r="CS118" s="35">
        <v>28340</v>
      </c>
      <c r="CT118" s="35">
        <v>750</v>
      </c>
      <c r="CU118" s="35">
        <v>850</v>
      </c>
      <c r="CV118" s="35"/>
      <c r="CW118" s="35"/>
      <c r="CX118" s="35"/>
      <c r="CY118" s="35">
        <f t="shared" si="106"/>
        <v>29940</v>
      </c>
      <c r="CZ118" s="35"/>
      <c r="DA118" s="35"/>
      <c r="DB118" s="35"/>
      <c r="DC118" s="35"/>
      <c r="DD118" s="35"/>
      <c r="DE118" s="35"/>
      <c r="DF118" s="35">
        <f>7980+28340</f>
        <v>36320</v>
      </c>
      <c r="DG118" s="35">
        <v>750</v>
      </c>
      <c r="DH118" s="35">
        <f>240+850</f>
        <v>1090</v>
      </c>
      <c r="DI118" s="35"/>
      <c r="DJ118" s="35"/>
      <c r="DK118" s="35"/>
      <c r="DL118" s="35">
        <f t="shared" si="101"/>
        <v>38160</v>
      </c>
      <c r="DM118" s="35"/>
      <c r="DN118" s="35"/>
      <c r="DO118" s="35"/>
      <c r="DP118" s="35"/>
      <c r="DQ118" s="35"/>
      <c r="DR118" s="35"/>
      <c r="DS118" s="35">
        <v>28340</v>
      </c>
      <c r="DT118" s="35">
        <v>750</v>
      </c>
      <c r="DU118" s="35">
        <v>850</v>
      </c>
      <c r="DV118" s="35"/>
      <c r="DW118" s="35"/>
      <c r="DX118" s="35"/>
      <c r="DY118" s="35">
        <f t="shared" si="107"/>
        <v>29940</v>
      </c>
      <c r="DZ118" s="35">
        <f t="shared" si="108"/>
        <v>98040</v>
      </c>
      <c r="EA118" s="35"/>
      <c r="EB118" s="35"/>
      <c r="EC118" s="35"/>
      <c r="ED118" s="35"/>
      <c r="EE118" s="35"/>
      <c r="EF118" s="35"/>
      <c r="EG118" s="35">
        <v>28340</v>
      </c>
      <c r="EH118" s="35">
        <v>750</v>
      </c>
      <c r="EI118" s="35">
        <v>850</v>
      </c>
      <c r="EJ118" s="35"/>
      <c r="EK118" s="35"/>
      <c r="EL118" s="35"/>
      <c r="EM118" s="35">
        <f t="shared" si="109"/>
        <v>29940</v>
      </c>
      <c r="EN118" s="35"/>
      <c r="EO118" s="35"/>
      <c r="EP118" s="35"/>
      <c r="EQ118" s="35"/>
      <c r="ER118" s="35"/>
      <c r="ES118" s="35"/>
      <c r="ET118" s="35">
        <v>28340</v>
      </c>
      <c r="EU118" s="35">
        <v>750</v>
      </c>
      <c r="EV118" s="35">
        <v>850</v>
      </c>
      <c r="EW118" s="35"/>
      <c r="EX118" s="35"/>
      <c r="EY118" s="35"/>
      <c r="EZ118" s="35">
        <f t="shared" si="102"/>
        <v>29940</v>
      </c>
      <c r="FA118" s="35"/>
      <c r="FB118" s="35"/>
      <c r="FC118" s="35"/>
      <c r="FD118" s="35"/>
      <c r="FE118" s="35"/>
      <c r="FF118" s="35"/>
      <c r="FG118" s="35">
        <v>28340</v>
      </c>
      <c r="FH118" s="35">
        <v>750</v>
      </c>
      <c r="FI118" s="35">
        <v>850</v>
      </c>
      <c r="FJ118" s="35"/>
      <c r="FK118" s="35"/>
      <c r="FL118" s="35"/>
      <c r="FM118" s="35">
        <f t="shared" si="110"/>
        <v>29940</v>
      </c>
      <c r="FN118" s="35">
        <f t="shared" si="111"/>
        <v>89820</v>
      </c>
      <c r="FO118" s="35">
        <f t="shared" si="112"/>
        <v>359280</v>
      </c>
    </row>
    <row r="119" spans="1:171" x14ac:dyDescent="0.35">
      <c r="A119" s="34"/>
      <c r="B119" s="40"/>
      <c r="C119" s="58"/>
      <c r="D119" s="79" t="s">
        <v>243</v>
      </c>
      <c r="E119" s="58" t="s">
        <v>8</v>
      </c>
      <c r="F119" s="58" t="s">
        <v>18</v>
      </c>
      <c r="G119" s="58"/>
      <c r="H119" s="58"/>
      <c r="I119" s="58"/>
      <c r="J119" s="58"/>
      <c r="K119" s="35"/>
      <c r="L119" s="35"/>
      <c r="M119" s="35"/>
      <c r="N119" s="35"/>
      <c r="O119" s="35"/>
      <c r="P119" s="35"/>
      <c r="Q119" s="35">
        <v>31990</v>
      </c>
      <c r="R119" s="35">
        <v>750</v>
      </c>
      <c r="S119" s="35">
        <v>0</v>
      </c>
      <c r="T119" s="35"/>
      <c r="U119" s="35"/>
      <c r="V119" s="35"/>
      <c r="W119" s="35">
        <f t="shared" si="163"/>
        <v>32740</v>
      </c>
      <c r="X119" s="35"/>
      <c r="Y119" s="35"/>
      <c r="Z119" s="35"/>
      <c r="AA119" s="35"/>
      <c r="AB119" s="35"/>
      <c r="AC119" s="35"/>
      <c r="AD119" s="35">
        <v>31990</v>
      </c>
      <c r="AE119" s="35">
        <v>750</v>
      </c>
      <c r="AF119" s="35">
        <v>0</v>
      </c>
      <c r="AG119" s="35"/>
      <c r="AH119" s="35"/>
      <c r="AI119" s="35"/>
      <c r="AJ119" s="35">
        <f t="shared" si="159"/>
        <v>32740</v>
      </c>
      <c r="AK119" s="35"/>
      <c r="AL119" s="35"/>
      <c r="AM119" s="35"/>
      <c r="AN119" s="35"/>
      <c r="AO119" s="35"/>
      <c r="AP119" s="35"/>
      <c r="AQ119" s="35">
        <v>31990</v>
      </c>
      <c r="AR119" s="35">
        <v>750</v>
      </c>
      <c r="AS119" s="35">
        <v>0</v>
      </c>
      <c r="AT119" s="35"/>
      <c r="AU119" s="35"/>
      <c r="AV119" s="35"/>
      <c r="AW119" s="35">
        <f t="shared" si="160"/>
        <v>32740</v>
      </c>
      <c r="AX119" s="35">
        <f t="shared" si="96"/>
        <v>98220</v>
      </c>
      <c r="AY119" s="35"/>
      <c r="AZ119" s="35"/>
      <c r="BA119" s="35"/>
      <c r="BB119" s="35"/>
      <c r="BC119" s="35"/>
      <c r="BD119" s="35"/>
      <c r="BE119" s="35">
        <v>31990</v>
      </c>
      <c r="BF119" s="35">
        <v>750</v>
      </c>
      <c r="BG119" s="35">
        <v>0</v>
      </c>
      <c r="BH119" s="35"/>
      <c r="BI119" s="35"/>
      <c r="BJ119" s="35"/>
      <c r="BK119" s="35">
        <f t="shared" si="164"/>
        <v>32740</v>
      </c>
      <c r="BL119" s="35"/>
      <c r="BM119" s="35"/>
      <c r="BN119" s="35"/>
      <c r="BO119" s="35"/>
      <c r="BP119" s="35"/>
      <c r="BQ119" s="35"/>
      <c r="BR119" s="35">
        <v>31990</v>
      </c>
      <c r="BS119" s="35">
        <v>750</v>
      </c>
      <c r="BT119" s="35">
        <v>0</v>
      </c>
      <c r="BU119" s="35"/>
      <c r="BV119" s="35"/>
      <c r="BW119" s="35"/>
      <c r="BX119" s="35">
        <f t="shared" si="165"/>
        <v>32740</v>
      </c>
      <c r="BY119" s="35"/>
      <c r="BZ119" s="35"/>
      <c r="CA119" s="35"/>
      <c r="CB119" s="35"/>
      <c r="CC119" s="35"/>
      <c r="CD119" s="35"/>
      <c r="CE119" s="35">
        <v>31990</v>
      </c>
      <c r="CF119" s="35">
        <v>750</v>
      </c>
      <c r="CG119" s="35">
        <v>0</v>
      </c>
      <c r="CH119" s="35"/>
      <c r="CI119" s="35"/>
      <c r="CJ119" s="35"/>
      <c r="CK119" s="35">
        <f t="shared" si="100"/>
        <v>32740</v>
      </c>
      <c r="CL119" s="35">
        <f t="shared" si="105"/>
        <v>98220</v>
      </c>
      <c r="CM119" s="35"/>
      <c r="CN119" s="35"/>
      <c r="CO119" s="35"/>
      <c r="CP119" s="35"/>
      <c r="CQ119" s="35"/>
      <c r="CR119" s="35"/>
      <c r="CS119" s="35">
        <v>33560</v>
      </c>
      <c r="CT119" s="35">
        <v>750</v>
      </c>
      <c r="CU119" s="35">
        <v>0</v>
      </c>
      <c r="CV119" s="35"/>
      <c r="CW119" s="35"/>
      <c r="CX119" s="35"/>
      <c r="CY119" s="35">
        <f t="shared" si="106"/>
        <v>34310</v>
      </c>
      <c r="CZ119" s="35"/>
      <c r="DA119" s="35"/>
      <c r="DB119" s="35"/>
      <c r="DC119" s="35"/>
      <c r="DD119" s="35"/>
      <c r="DE119" s="35"/>
      <c r="DF119" s="35">
        <f>9420+33560</f>
        <v>42980</v>
      </c>
      <c r="DG119" s="35">
        <v>750</v>
      </c>
      <c r="DH119" s="35">
        <v>0</v>
      </c>
      <c r="DI119" s="35"/>
      <c r="DJ119" s="35"/>
      <c r="DK119" s="35"/>
      <c r="DL119" s="35">
        <f t="shared" si="101"/>
        <v>43730</v>
      </c>
      <c r="DM119" s="35"/>
      <c r="DN119" s="35"/>
      <c r="DO119" s="35"/>
      <c r="DP119" s="35"/>
      <c r="DQ119" s="35"/>
      <c r="DR119" s="35"/>
      <c r="DS119" s="35">
        <v>33560</v>
      </c>
      <c r="DT119" s="35">
        <v>750</v>
      </c>
      <c r="DU119" s="35">
        <v>0</v>
      </c>
      <c r="DV119" s="35"/>
      <c r="DW119" s="35"/>
      <c r="DX119" s="35"/>
      <c r="DY119" s="35">
        <f t="shared" si="107"/>
        <v>34310</v>
      </c>
      <c r="DZ119" s="35">
        <f t="shared" si="108"/>
        <v>112350</v>
      </c>
      <c r="EA119" s="35"/>
      <c r="EB119" s="35"/>
      <c r="EC119" s="35"/>
      <c r="ED119" s="35"/>
      <c r="EE119" s="35"/>
      <c r="EF119" s="35"/>
      <c r="EG119" s="35">
        <v>33560</v>
      </c>
      <c r="EH119" s="35">
        <v>750</v>
      </c>
      <c r="EI119" s="35">
        <v>0</v>
      </c>
      <c r="EJ119" s="35"/>
      <c r="EK119" s="35"/>
      <c r="EL119" s="35"/>
      <c r="EM119" s="35">
        <f t="shared" si="109"/>
        <v>34310</v>
      </c>
      <c r="EN119" s="35"/>
      <c r="EO119" s="35"/>
      <c r="EP119" s="35"/>
      <c r="EQ119" s="35"/>
      <c r="ER119" s="35"/>
      <c r="ES119" s="35"/>
      <c r="ET119" s="35">
        <v>33560</v>
      </c>
      <c r="EU119" s="35">
        <v>750</v>
      </c>
      <c r="EV119" s="35">
        <v>0</v>
      </c>
      <c r="EW119" s="35"/>
      <c r="EX119" s="35"/>
      <c r="EY119" s="35"/>
      <c r="EZ119" s="35">
        <f t="shared" si="102"/>
        <v>34310</v>
      </c>
      <c r="FA119" s="35"/>
      <c r="FB119" s="35"/>
      <c r="FC119" s="35"/>
      <c r="FD119" s="35"/>
      <c r="FE119" s="35"/>
      <c r="FF119" s="35"/>
      <c r="FG119" s="35">
        <v>33560</v>
      </c>
      <c r="FH119" s="35">
        <v>750</v>
      </c>
      <c r="FI119" s="35">
        <v>0</v>
      </c>
      <c r="FJ119" s="35"/>
      <c r="FK119" s="35"/>
      <c r="FL119" s="35"/>
      <c r="FM119" s="35">
        <f t="shared" si="110"/>
        <v>34310</v>
      </c>
      <c r="FN119" s="35">
        <f t="shared" si="111"/>
        <v>102930</v>
      </c>
      <c r="FO119" s="35">
        <f t="shared" si="112"/>
        <v>411720</v>
      </c>
    </row>
    <row r="120" spans="1:171" x14ac:dyDescent="0.35">
      <c r="A120" s="34"/>
      <c r="B120" s="40"/>
      <c r="C120" s="58"/>
      <c r="D120" s="79" t="s">
        <v>244</v>
      </c>
      <c r="E120" s="58" t="s">
        <v>8</v>
      </c>
      <c r="F120" s="58" t="s">
        <v>18</v>
      </c>
      <c r="G120" s="58"/>
      <c r="H120" s="58"/>
      <c r="I120" s="58"/>
      <c r="J120" s="58"/>
      <c r="K120" s="35"/>
      <c r="L120" s="35"/>
      <c r="M120" s="35"/>
      <c r="N120" s="35"/>
      <c r="O120" s="35"/>
      <c r="P120" s="35"/>
      <c r="Q120" s="35">
        <v>31990</v>
      </c>
      <c r="R120" s="35">
        <v>750</v>
      </c>
      <c r="S120" s="35">
        <v>960</v>
      </c>
      <c r="T120" s="35"/>
      <c r="U120" s="35"/>
      <c r="V120" s="35"/>
      <c r="W120" s="35">
        <f t="shared" si="163"/>
        <v>33700</v>
      </c>
      <c r="X120" s="35"/>
      <c r="Y120" s="35"/>
      <c r="Z120" s="35"/>
      <c r="AA120" s="35"/>
      <c r="AB120" s="35"/>
      <c r="AC120" s="35"/>
      <c r="AD120" s="35">
        <v>31990</v>
      </c>
      <c r="AE120" s="35">
        <v>750</v>
      </c>
      <c r="AF120" s="35">
        <v>960</v>
      </c>
      <c r="AG120" s="35"/>
      <c r="AH120" s="35"/>
      <c r="AI120" s="35"/>
      <c r="AJ120" s="35">
        <f t="shared" si="159"/>
        <v>33700</v>
      </c>
      <c r="AK120" s="35"/>
      <c r="AL120" s="35"/>
      <c r="AM120" s="35"/>
      <c r="AN120" s="35"/>
      <c r="AO120" s="35"/>
      <c r="AP120" s="35"/>
      <c r="AQ120" s="35">
        <v>31990</v>
      </c>
      <c r="AR120" s="35">
        <v>750</v>
      </c>
      <c r="AS120" s="35">
        <v>960</v>
      </c>
      <c r="AT120" s="35"/>
      <c r="AU120" s="35"/>
      <c r="AV120" s="35"/>
      <c r="AW120" s="35">
        <f t="shared" si="160"/>
        <v>33700</v>
      </c>
      <c r="AX120" s="35">
        <f t="shared" si="96"/>
        <v>101100</v>
      </c>
      <c r="AY120" s="35"/>
      <c r="AZ120" s="35"/>
      <c r="BA120" s="35"/>
      <c r="BB120" s="35"/>
      <c r="BC120" s="35"/>
      <c r="BD120" s="35"/>
      <c r="BE120" s="35">
        <v>31990</v>
      </c>
      <c r="BF120" s="35">
        <v>750</v>
      </c>
      <c r="BG120" s="35">
        <v>960</v>
      </c>
      <c r="BH120" s="35"/>
      <c r="BI120" s="35"/>
      <c r="BJ120" s="35"/>
      <c r="BK120" s="35">
        <f t="shared" si="164"/>
        <v>33700</v>
      </c>
      <c r="BL120" s="35"/>
      <c r="BM120" s="35"/>
      <c r="BN120" s="35"/>
      <c r="BO120" s="35"/>
      <c r="BP120" s="35"/>
      <c r="BQ120" s="35"/>
      <c r="BR120" s="35">
        <v>31990</v>
      </c>
      <c r="BS120" s="35">
        <v>750</v>
      </c>
      <c r="BT120" s="35">
        <v>960</v>
      </c>
      <c r="BU120" s="35"/>
      <c r="BV120" s="35"/>
      <c r="BW120" s="35"/>
      <c r="BX120" s="35">
        <f t="shared" si="165"/>
        <v>33700</v>
      </c>
      <c r="BY120" s="35"/>
      <c r="BZ120" s="35"/>
      <c r="CA120" s="35"/>
      <c r="CB120" s="35"/>
      <c r="CC120" s="35"/>
      <c r="CD120" s="35"/>
      <c r="CE120" s="35">
        <v>31990</v>
      </c>
      <c r="CF120" s="35">
        <v>750</v>
      </c>
      <c r="CG120" s="35">
        <v>960</v>
      </c>
      <c r="CH120" s="35"/>
      <c r="CI120" s="35"/>
      <c r="CJ120" s="35"/>
      <c r="CK120" s="35">
        <f t="shared" si="100"/>
        <v>33700</v>
      </c>
      <c r="CL120" s="35">
        <f t="shared" si="105"/>
        <v>101100</v>
      </c>
      <c r="CM120" s="35"/>
      <c r="CN120" s="35"/>
      <c r="CO120" s="35"/>
      <c r="CP120" s="35"/>
      <c r="CQ120" s="35"/>
      <c r="CR120" s="35"/>
      <c r="CS120" s="35">
        <v>33550</v>
      </c>
      <c r="CT120" s="35">
        <v>750</v>
      </c>
      <c r="CU120" s="35">
        <v>1007</v>
      </c>
      <c r="CV120" s="35"/>
      <c r="CW120" s="35"/>
      <c r="CX120" s="35"/>
      <c r="CY120" s="35">
        <f t="shared" si="106"/>
        <v>35307</v>
      </c>
      <c r="CZ120" s="35"/>
      <c r="DA120" s="35"/>
      <c r="DB120" s="35"/>
      <c r="DC120" s="35"/>
      <c r="DD120" s="35"/>
      <c r="DE120" s="35"/>
      <c r="DF120" s="35">
        <f>9360+33550</f>
        <v>42910</v>
      </c>
      <c r="DG120" s="35">
        <v>750</v>
      </c>
      <c r="DH120" s="35">
        <f>282+1007</f>
        <v>1289</v>
      </c>
      <c r="DI120" s="35"/>
      <c r="DJ120" s="35"/>
      <c r="DK120" s="35"/>
      <c r="DL120" s="35">
        <f t="shared" si="101"/>
        <v>44949</v>
      </c>
      <c r="DM120" s="35"/>
      <c r="DN120" s="35"/>
      <c r="DO120" s="35"/>
      <c r="DP120" s="35"/>
      <c r="DQ120" s="35"/>
      <c r="DR120" s="35"/>
      <c r="DS120" s="35">
        <v>33550</v>
      </c>
      <c r="DT120" s="35">
        <v>750</v>
      </c>
      <c r="DU120" s="35">
        <v>1007</v>
      </c>
      <c r="DV120" s="35"/>
      <c r="DW120" s="35"/>
      <c r="DX120" s="35"/>
      <c r="DY120" s="35">
        <f t="shared" si="107"/>
        <v>35307</v>
      </c>
      <c r="DZ120" s="35">
        <f t="shared" si="108"/>
        <v>115563</v>
      </c>
      <c r="EA120" s="35"/>
      <c r="EB120" s="35"/>
      <c r="EC120" s="35"/>
      <c r="ED120" s="35"/>
      <c r="EE120" s="35"/>
      <c r="EF120" s="35"/>
      <c r="EG120" s="35">
        <v>33550</v>
      </c>
      <c r="EH120" s="35">
        <v>750</v>
      </c>
      <c r="EI120" s="35">
        <v>1007</v>
      </c>
      <c r="EJ120" s="35"/>
      <c r="EK120" s="35"/>
      <c r="EL120" s="35"/>
      <c r="EM120" s="35">
        <f t="shared" si="109"/>
        <v>35307</v>
      </c>
      <c r="EN120" s="35"/>
      <c r="EO120" s="35"/>
      <c r="EP120" s="35"/>
      <c r="EQ120" s="35"/>
      <c r="ER120" s="35"/>
      <c r="ES120" s="35"/>
      <c r="ET120" s="35">
        <v>33550</v>
      </c>
      <c r="EU120" s="35">
        <v>750</v>
      </c>
      <c r="EV120" s="35">
        <v>1007</v>
      </c>
      <c r="EW120" s="35"/>
      <c r="EX120" s="35"/>
      <c r="EY120" s="35"/>
      <c r="EZ120" s="35">
        <f t="shared" si="102"/>
        <v>35307</v>
      </c>
      <c r="FA120" s="35"/>
      <c r="FB120" s="35"/>
      <c r="FC120" s="35"/>
      <c r="FD120" s="35"/>
      <c r="FE120" s="35"/>
      <c r="FF120" s="35"/>
      <c r="FG120" s="35">
        <v>33550</v>
      </c>
      <c r="FH120" s="35">
        <v>750</v>
      </c>
      <c r="FI120" s="35">
        <v>1007</v>
      </c>
      <c r="FJ120" s="35"/>
      <c r="FK120" s="35"/>
      <c r="FL120" s="35"/>
      <c r="FM120" s="35">
        <f t="shared" si="110"/>
        <v>35307</v>
      </c>
      <c r="FN120" s="35">
        <f t="shared" si="111"/>
        <v>105921</v>
      </c>
      <c r="FO120" s="35">
        <f t="shared" si="112"/>
        <v>423684</v>
      </c>
    </row>
    <row r="121" spans="1:171" x14ac:dyDescent="0.35">
      <c r="A121" s="34"/>
      <c r="B121" s="40"/>
      <c r="C121" s="58"/>
      <c r="D121" s="41"/>
      <c r="E121" s="58"/>
      <c r="F121" s="58"/>
      <c r="G121" s="58"/>
      <c r="H121" s="58"/>
      <c r="I121" s="58"/>
      <c r="J121" s="58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>
        <f t="shared" si="161"/>
        <v>0</v>
      </c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>
        <f t="shared" si="159"/>
        <v>0</v>
      </c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f t="shared" si="160"/>
        <v>0</v>
      </c>
      <c r="AX121" s="35">
        <f t="shared" si="96"/>
        <v>0</v>
      </c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>
        <f t="shared" si="162"/>
        <v>0</v>
      </c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>
        <f t="shared" si="99"/>
        <v>0</v>
      </c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>
        <f t="shared" si="100"/>
        <v>0</v>
      </c>
      <c r="CL121" s="35">
        <f t="shared" si="105"/>
        <v>0</v>
      </c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>
        <f t="shared" si="106"/>
        <v>0</v>
      </c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>
        <f t="shared" si="101"/>
        <v>0</v>
      </c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>
        <f t="shared" si="107"/>
        <v>0</v>
      </c>
      <c r="DZ121" s="35">
        <f t="shared" si="108"/>
        <v>0</v>
      </c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>
        <f t="shared" si="109"/>
        <v>0</v>
      </c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>
        <f t="shared" si="102"/>
        <v>0</v>
      </c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>
        <f t="shared" si="110"/>
        <v>0</v>
      </c>
      <c r="FN121" s="35">
        <f t="shared" si="111"/>
        <v>0</v>
      </c>
      <c r="FO121" s="35">
        <f t="shared" si="112"/>
        <v>0</v>
      </c>
    </row>
    <row r="122" spans="1:171" x14ac:dyDescent="0.35">
      <c r="A122" s="48"/>
      <c r="B122" s="49" t="s">
        <v>104</v>
      </c>
      <c r="C122" s="59"/>
      <c r="D122" s="50"/>
      <c r="E122" s="59"/>
      <c r="F122" s="59"/>
      <c r="G122" s="59"/>
      <c r="H122" s="59"/>
      <c r="I122" s="59"/>
      <c r="J122" s="59"/>
      <c r="K122" s="51">
        <f>SUM(K102:K121)</f>
        <v>0</v>
      </c>
      <c r="L122" s="51">
        <f t="shared" ref="L122:V122" si="166">SUM(L102:L121)</f>
        <v>0</v>
      </c>
      <c r="M122" s="51">
        <f t="shared" si="166"/>
        <v>0</v>
      </c>
      <c r="N122" s="51">
        <f t="shared" si="166"/>
        <v>0</v>
      </c>
      <c r="O122" s="51">
        <f t="shared" si="166"/>
        <v>0</v>
      </c>
      <c r="P122" s="51">
        <f t="shared" si="166"/>
        <v>0</v>
      </c>
      <c r="Q122" s="51">
        <f t="shared" si="166"/>
        <v>573940</v>
      </c>
      <c r="R122" s="51">
        <f t="shared" si="166"/>
        <v>13500</v>
      </c>
      <c r="S122" s="51">
        <f t="shared" si="166"/>
        <v>14281</v>
      </c>
      <c r="T122" s="51">
        <f t="shared" si="166"/>
        <v>23920</v>
      </c>
      <c r="U122" s="51">
        <f t="shared" si="166"/>
        <v>750</v>
      </c>
      <c r="V122" s="51">
        <f t="shared" si="166"/>
        <v>0</v>
      </c>
      <c r="W122" s="51">
        <f t="shared" si="161"/>
        <v>626391</v>
      </c>
      <c r="X122" s="51">
        <f>SUM(X102:X121)</f>
        <v>0</v>
      </c>
      <c r="Y122" s="51">
        <f t="shared" ref="Y122:AI122" si="167">SUM(Y102:Y121)</f>
        <v>0</v>
      </c>
      <c r="Z122" s="51">
        <f t="shared" si="167"/>
        <v>0</v>
      </c>
      <c r="AA122" s="51">
        <f t="shared" si="167"/>
        <v>0</v>
      </c>
      <c r="AB122" s="51">
        <f t="shared" si="167"/>
        <v>0</v>
      </c>
      <c r="AC122" s="51">
        <f t="shared" si="167"/>
        <v>0</v>
      </c>
      <c r="AD122" s="51">
        <f t="shared" si="167"/>
        <v>573940</v>
      </c>
      <c r="AE122" s="51">
        <f t="shared" si="167"/>
        <v>13500</v>
      </c>
      <c r="AF122" s="51">
        <f t="shared" si="167"/>
        <v>14281</v>
      </c>
      <c r="AG122" s="51">
        <f t="shared" si="167"/>
        <v>23920</v>
      </c>
      <c r="AH122" s="51">
        <f t="shared" si="167"/>
        <v>750</v>
      </c>
      <c r="AI122" s="51">
        <f t="shared" si="167"/>
        <v>0</v>
      </c>
      <c r="AJ122" s="51">
        <f t="shared" si="159"/>
        <v>626391</v>
      </c>
      <c r="AK122" s="51">
        <f>SUM(AK102:AK121)</f>
        <v>0</v>
      </c>
      <c r="AL122" s="51">
        <f t="shared" ref="AL122:AV122" si="168">SUM(AL102:AL121)</f>
        <v>0</v>
      </c>
      <c r="AM122" s="51">
        <f t="shared" si="168"/>
        <v>0</v>
      </c>
      <c r="AN122" s="51">
        <f t="shared" si="168"/>
        <v>0</v>
      </c>
      <c r="AO122" s="51">
        <f t="shared" si="168"/>
        <v>0</v>
      </c>
      <c r="AP122" s="51">
        <f t="shared" si="168"/>
        <v>0</v>
      </c>
      <c r="AQ122" s="51">
        <f t="shared" si="168"/>
        <v>573940</v>
      </c>
      <c r="AR122" s="51">
        <f t="shared" si="168"/>
        <v>13500</v>
      </c>
      <c r="AS122" s="51">
        <f t="shared" si="168"/>
        <v>14281</v>
      </c>
      <c r="AT122" s="51">
        <f t="shared" si="168"/>
        <v>23920</v>
      </c>
      <c r="AU122" s="51">
        <f t="shared" si="168"/>
        <v>750</v>
      </c>
      <c r="AV122" s="51">
        <f t="shared" si="168"/>
        <v>0</v>
      </c>
      <c r="AW122" s="51">
        <f t="shared" si="160"/>
        <v>626391</v>
      </c>
      <c r="AX122" s="51">
        <f t="shared" si="96"/>
        <v>1879173</v>
      </c>
      <c r="AY122" s="51">
        <f>SUM(AY102:AY121)</f>
        <v>0</v>
      </c>
      <c r="AZ122" s="51">
        <f t="shared" ref="AZ122:BJ122" si="169">SUM(AZ102:AZ121)</f>
        <v>0</v>
      </c>
      <c r="BA122" s="51">
        <f t="shared" si="169"/>
        <v>0</v>
      </c>
      <c r="BB122" s="51">
        <f t="shared" si="169"/>
        <v>0</v>
      </c>
      <c r="BC122" s="51">
        <f t="shared" si="169"/>
        <v>0</v>
      </c>
      <c r="BD122" s="51">
        <f t="shared" si="169"/>
        <v>0</v>
      </c>
      <c r="BE122" s="51">
        <f t="shared" si="169"/>
        <v>573940</v>
      </c>
      <c r="BF122" s="51">
        <f t="shared" si="169"/>
        <v>13500</v>
      </c>
      <c r="BG122" s="51">
        <f t="shared" si="169"/>
        <v>14281</v>
      </c>
      <c r="BH122" s="51">
        <f t="shared" si="169"/>
        <v>23920</v>
      </c>
      <c r="BI122" s="51">
        <f t="shared" si="169"/>
        <v>750</v>
      </c>
      <c r="BJ122" s="51">
        <f t="shared" si="169"/>
        <v>0</v>
      </c>
      <c r="BK122" s="51">
        <f t="shared" si="162"/>
        <v>626391</v>
      </c>
      <c r="BL122" s="51">
        <f>SUM(BL102:BL121)</f>
        <v>0</v>
      </c>
      <c r="BM122" s="51">
        <f t="shared" ref="BM122:BW122" si="170">SUM(BM102:BM121)</f>
        <v>0</v>
      </c>
      <c r="BN122" s="51">
        <f t="shared" si="170"/>
        <v>0</v>
      </c>
      <c r="BO122" s="51">
        <f t="shared" si="170"/>
        <v>0</v>
      </c>
      <c r="BP122" s="51">
        <f t="shared" si="170"/>
        <v>0</v>
      </c>
      <c r="BQ122" s="51">
        <f t="shared" si="170"/>
        <v>0</v>
      </c>
      <c r="BR122" s="51">
        <f t="shared" si="170"/>
        <v>573940</v>
      </c>
      <c r="BS122" s="51">
        <f t="shared" si="170"/>
        <v>13500</v>
      </c>
      <c r="BT122" s="51">
        <f t="shared" si="170"/>
        <v>14281</v>
      </c>
      <c r="BU122" s="51">
        <f t="shared" si="170"/>
        <v>23920</v>
      </c>
      <c r="BV122" s="51">
        <f t="shared" si="170"/>
        <v>750</v>
      </c>
      <c r="BW122" s="51">
        <f t="shared" si="170"/>
        <v>0</v>
      </c>
      <c r="BX122" s="51">
        <f t="shared" si="99"/>
        <v>626391</v>
      </c>
      <c r="BY122" s="51">
        <f>SUM(BY102:BY121)</f>
        <v>0</v>
      </c>
      <c r="BZ122" s="51">
        <f t="shared" ref="BZ122:CJ122" si="171">SUM(BZ102:BZ121)</f>
        <v>0</v>
      </c>
      <c r="CA122" s="51">
        <f t="shared" si="171"/>
        <v>0</v>
      </c>
      <c r="CB122" s="51">
        <f t="shared" si="171"/>
        <v>0</v>
      </c>
      <c r="CC122" s="51">
        <f t="shared" si="171"/>
        <v>0</v>
      </c>
      <c r="CD122" s="51">
        <f t="shared" si="171"/>
        <v>0</v>
      </c>
      <c r="CE122" s="51">
        <f t="shared" si="171"/>
        <v>573940</v>
      </c>
      <c r="CF122" s="51">
        <f t="shared" si="171"/>
        <v>13500</v>
      </c>
      <c r="CG122" s="51">
        <f t="shared" si="171"/>
        <v>14281</v>
      </c>
      <c r="CH122" s="51">
        <f t="shared" si="171"/>
        <v>23920</v>
      </c>
      <c r="CI122" s="51">
        <f t="shared" si="171"/>
        <v>750</v>
      </c>
      <c r="CJ122" s="51">
        <f t="shared" si="171"/>
        <v>0</v>
      </c>
      <c r="CK122" s="51">
        <f t="shared" si="100"/>
        <v>626391</v>
      </c>
      <c r="CL122" s="51">
        <f t="shared" si="105"/>
        <v>1879173</v>
      </c>
      <c r="CM122" s="51">
        <f>SUM(CM102:CM121)</f>
        <v>0</v>
      </c>
      <c r="CN122" s="51">
        <f t="shared" ref="CN122:CX122" si="172">SUM(CN102:CN121)</f>
        <v>0</v>
      </c>
      <c r="CO122" s="51">
        <f t="shared" si="172"/>
        <v>0</v>
      </c>
      <c r="CP122" s="51">
        <f t="shared" si="172"/>
        <v>0</v>
      </c>
      <c r="CQ122" s="51">
        <f t="shared" si="172"/>
        <v>0</v>
      </c>
      <c r="CR122" s="51">
        <f t="shared" si="172"/>
        <v>0</v>
      </c>
      <c r="CS122" s="51">
        <f t="shared" si="172"/>
        <v>602500</v>
      </c>
      <c r="CT122" s="51">
        <f t="shared" si="172"/>
        <v>13500</v>
      </c>
      <c r="CU122" s="51">
        <f t="shared" si="172"/>
        <v>14992</v>
      </c>
      <c r="CV122" s="51">
        <f t="shared" si="172"/>
        <v>25120</v>
      </c>
      <c r="CW122" s="51">
        <f t="shared" si="172"/>
        <v>750</v>
      </c>
      <c r="CX122" s="51">
        <f t="shared" si="172"/>
        <v>0</v>
      </c>
      <c r="CY122" s="51">
        <f t="shared" si="106"/>
        <v>656862</v>
      </c>
      <c r="CZ122" s="51">
        <f>SUM(CZ102:CZ121)</f>
        <v>0</v>
      </c>
      <c r="DA122" s="51">
        <f t="shared" ref="DA122:DK122" si="173">SUM(DA102:DA121)</f>
        <v>0</v>
      </c>
      <c r="DB122" s="51">
        <f t="shared" si="173"/>
        <v>0</v>
      </c>
      <c r="DC122" s="51">
        <f t="shared" si="173"/>
        <v>0</v>
      </c>
      <c r="DD122" s="51">
        <f t="shared" si="173"/>
        <v>0</v>
      </c>
      <c r="DE122" s="51">
        <f t="shared" si="173"/>
        <v>0</v>
      </c>
      <c r="DF122" s="51">
        <f t="shared" si="173"/>
        <v>773860</v>
      </c>
      <c r="DG122" s="51">
        <f t="shared" si="173"/>
        <v>13500</v>
      </c>
      <c r="DH122" s="51">
        <f t="shared" si="173"/>
        <v>19264</v>
      </c>
      <c r="DI122" s="51">
        <f t="shared" si="173"/>
        <v>32320</v>
      </c>
      <c r="DJ122" s="51">
        <f t="shared" si="173"/>
        <v>750</v>
      </c>
      <c r="DK122" s="51">
        <f t="shared" si="173"/>
        <v>0</v>
      </c>
      <c r="DL122" s="51">
        <f t="shared" si="101"/>
        <v>839694</v>
      </c>
      <c r="DM122" s="51">
        <f>SUM(DM102:DM121)</f>
        <v>0</v>
      </c>
      <c r="DN122" s="51">
        <f t="shared" ref="DN122:DX122" si="174">SUM(DN102:DN121)</f>
        <v>0</v>
      </c>
      <c r="DO122" s="51">
        <f t="shared" si="174"/>
        <v>0</v>
      </c>
      <c r="DP122" s="51">
        <f t="shared" si="174"/>
        <v>0</v>
      </c>
      <c r="DQ122" s="51">
        <f t="shared" si="174"/>
        <v>0</v>
      </c>
      <c r="DR122" s="51">
        <f t="shared" si="174"/>
        <v>0</v>
      </c>
      <c r="DS122" s="51">
        <f t="shared" si="174"/>
        <v>602500</v>
      </c>
      <c r="DT122" s="51">
        <f t="shared" si="174"/>
        <v>13500</v>
      </c>
      <c r="DU122" s="51">
        <f t="shared" si="174"/>
        <v>14992</v>
      </c>
      <c r="DV122" s="51">
        <f t="shared" si="174"/>
        <v>25120</v>
      </c>
      <c r="DW122" s="51">
        <f t="shared" si="174"/>
        <v>750</v>
      </c>
      <c r="DX122" s="51">
        <f t="shared" si="174"/>
        <v>0</v>
      </c>
      <c r="DY122" s="51">
        <f t="shared" si="107"/>
        <v>656862</v>
      </c>
      <c r="DZ122" s="51">
        <f t="shared" si="108"/>
        <v>2153418</v>
      </c>
      <c r="EA122" s="51">
        <f>SUM(EA102:EA121)</f>
        <v>0</v>
      </c>
      <c r="EB122" s="51">
        <f t="shared" ref="EB122:EL122" si="175">SUM(EB102:EB121)</f>
        <v>0</v>
      </c>
      <c r="EC122" s="51">
        <f t="shared" si="175"/>
        <v>0</v>
      </c>
      <c r="ED122" s="51">
        <f t="shared" si="175"/>
        <v>0</v>
      </c>
      <c r="EE122" s="51">
        <f t="shared" si="175"/>
        <v>0</v>
      </c>
      <c r="EF122" s="51">
        <f t="shared" si="175"/>
        <v>0</v>
      </c>
      <c r="EG122" s="51">
        <f t="shared" si="175"/>
        <v>602500</v>
      </c>
      <c r="EH122" s="51">
        <f t="shared" si="175"/>
        <v>13500</v>
      </c>
      <c r="EI122" s="51">
        <f t="shared" si="175"/>
        <v>14992</v>
      </c>
      <c r="EJ122" s="51">
        <f t="shared" si="175"/>
        <v>25120</v>
      </c>
      <c r="EK122" s="51">
        <f t="shared" si="175"/>
        <v>750</v>
      </c>
      <c r="EL122" s="51">
        <f t="shared" si="175"/>
        <v>0</v>
      </c>
      <c r="EM122" s="51">
        <f t="shared" si="109"/>
        <v>656862</v>
      </c>
      <c r="EN122" s="51">
        <f>SUM(EN102:EN121)</f>
        <v>0</v>
      </c>
      <c r="EO122" s="51">
        <f t="shared" ref="EO122:EY122" si="176">SUM(EO102:EO121)</f>
        <v>0</v>
      </c>
      <c r="EP122" s="51">
        <f t="shared" si="176"/>
        <v>0</v>
      </c>
      <c r="EQ122" s="51">
        <f t="shared" si="176"/>
        <v>0</v>
      </c>
      <c r="ER122" s="51">
        <f t="shared" si="176"/>
        <v>0</v>
      </c>
      <c r="ES122" s="51">
        <f t="shared" si="176"/>
        <v>0</v>
      </c>
      <c r="ET122" s="51">
        <f t="shared" si="176"/>
        <v>602500</v>
      </c>
      <c r="EU122" s="51">
        <f t="shared" si="176"/>
        <v>13500</v>
      </c>
      <c r="EV122" s="51">
        <f t="shared" si="176"/>
        <v>14992</v>
      </c>
      <c r="EW122" s="51">
        <f t="shared" si="176"/>
        <v>25120</v>
      </c>
      <c r="EX122" s="51">
        <f t="shared" si="176"/>
        <v>750</v>
      </c>
      <c r="EY122" s="51">
        <f t="shared" si="176"/>
        <v>0</v>
      </c>
      <c r="EZ122" s="51">
        <f t="shared" si="102"/>
        <v>656862</v>
      </c>
      <c r="FA122" s="51">
        <f>SUM(FA102:FA121)</f>
        <v>0</v>
      </c>
      <c r="FB122" s="51">
        <f t="shared" ref="FB122:FL122" si="177">SUM(FB102:FB121)</f>
        <v>0</v>
      </c>
      <c r="FC122" s="51">
        <f t="shared" si="177"/>
        <v>0</v>
      </c>
      <c r="FD122" s="51">
        <f t="shared" si="177"/>
        <v>0</v>
      </c>
      <c r="FE122" s="51">
        <f t="shared" si="177"/>
        <v>0</v>
      </c>
      <c r="FF122" s="51">
        <f t="shared" si="177"/>
        <v>0</v>
      </c>
      <c r="FG122" s="51">
        <f t="shared" si="177"/>
        <v>602500</v>
      </c>
      <c r="FH122" s="51">
        <f t="shared" si="177"/>
        <v>13500</v>
      </c>
      <c r="FI122" s="51">
        <f t="shared" si="177"/>
        <v>14992</v>
      </c>
      <c r="FJ122" s="51">
        <f t="shared" si="177"/>
        <v>25120</v>
      </c>
      <c r="FK122" s="51">
        <f t="shared" si="177"/>
        <v>750</v>
      </c>
      <c r="FL122" s="51">
        <f t="shared" si="177"/>
        <v>0</v>
      </c>
      <c r="FM122" s="51">
        <f t="shared" si="110"/>
        <v>656862</v>
      </c>
      <c r="FN122" s="51">
        <f t="shared" si="111"/>
        <v>1970586</v>
      </c>
      <c r="FO122" s="35">
        <f t="shared" si="112"/>
        <v>7882350</v>
      </c>
    </row>
    <row r="123" spans="1:171" x14ac:dyDescent="0.35">
      <c r="A123" s="34" t="s">
        <v>4</v>
      </c>
      <c r="B123" s="40" t="s">
        <v>106</v>
      </c>
      <c r="C123" s="58"/>
      <c r="D123" s="41"/>
      <c r="E123" s="58"/>
      <c r="F123" s="58"/>
      <c r="G123" s="58"/>
      <c r="H123" s="58"/>
      <c r="I123" s="58"/>
      <c r="J123" s="58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>
        <f t="shared" si="161"/>
        <v>0</v>
      </c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>
        <f t="shared" si="159"/>
        <v>0</v>
      </c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>
        <f t="shared" si="160"/>
        <v>0</v>
      </c>
      <c r="AX123" s="35">
        <f t="shared" si="96"/>
        <v>0</v>
      </c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>
        <f t="shared" si="162"/>
        <v>0</v>
      </c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>
        <f t="shared" si="99"/>
        <v>0</v>
      </c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>
        <f t="shared" si="100"/>
        <v>0</v>
      </c>
      <c r="CL123" s="35">
        <f t="shared" si="105"/>
        <v>0</v>
      </c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>
        <f t="shared" si="106"/>
        <v>0</v>
      </c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>
        <f t="shared" si="101"/>
        <v>0</v>
      </c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>
        <f t="shared" si="107"/>
        <v>0</v>
      </c>
      <c r="DZ123" s="35">
        <f t="shared" si="108"/>
        <v>0</v>
      </c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>
        <f t="shared" si="109"/>
        <v>0</v>
      </c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>
        <f t="shared" si="102"/>
        <v>0</v>
      </c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>
        <f t="shared" si="110"/>
        <v>0</v>
      </c>
      <c r="FN123" s="35">
        <f t="shared" si="111"/>
        <v>0</v>
      </c>
      <c r="FO123" s="35">
        <f t="shared" si="112"/>
        <v>0</v>
      </c>
    </row>
    <row r="124" spans="1:171" x14ac:dyDescent="0.35">
      <c r="A124" s="34"/>
      <c r="B124" s="40"/>
      <c r="C124" s="58"/>
      <c r="D124" s="79" t="s">
        <v>203</v>
      </c>
      <c r="E124" s="58" t="s">
        <v>9</v>
      </c>
      <c r="F124" s="58" t="s">
        <v>17</v>
      </c>
      <c r="G124" s="58"/>
      <c r="H124" s="58"/>
      <c r="I124" s="58"/>
      <c r="J124" s="58"/>
      <c r="K124" s="35"/>
      <c r="L124" s="35"/>
      <c r="M124" s="35"/>
      <c r="N124" s="35">
        <v>24450</v>
      </c>
      <c r="O124" s="35">
        <v>750</v>
      </c>
      <c r="P124" s="35">
        <v>0</v>
      </c>
      <c r="Q124" s="35"/>
      <c r="R124" s="35"/>
      <c r="S124" s="35"/>
      <c r="T124" s="35"/>
      <c r="U124" s="35"/>
      <c r="V124" s="35"/>
      <c r="W124" s="35">
        <f t="shared" si="161"/>
        <v>25200</v>
      </c>
      <c r="X124" s="35"/>
      <c r="Y124" s="35"/>
      <c r="Z124" s="35"/>
      <c r="AA124" s="35">
        <v>24450</v>
      </c>
      <c r="AB124" s="35">
        <v>750</v>
      </c>
      <c r="AC124" s="35">
        <v>0</v>
      </c>
      <c r="AD124" s="35"/>
      <c r="AE124" s="35"/>
      <c r="AF124" s="35"/>
      <c r="AG124" s="35"/>
      <c r="AH124" s="35"/>
      <c r="AI124" s="35"/>
      <c r="AJ124" s="35">
        <f t="shared" si="159"/>
        <v>25200</v>
      </c>
      <c r="AK124" s="35"/>
      <c r="AL124" s="35"/>
      <c r="AM124" s="35"/>
      <c r="AN124" s="35">
        <v>24450</v>
      </c>
      <c r="AO124" s="35">
        <v>750</v>
      </c>
      <c r="AP124" s="35">
        <v>0</v>
      </c>
      <c r="AQ124" s="35"/>
      <c r="AR124" s="35"/>
      <c r="AS124" s="35"/>
      <c r="AT124" s="35"/>
      <c r="AU124" s="35"/>
      <c r="AV124" s="35"/>
      <c r="AW124" s="35">
        <f t="shared" si="160"/>
        <v>25200</v>
      </c>
      <c r="AX124" s="35">
        <f t="shared" si="96"/>
        <v>75600</v>
      </c>
      <c r="AY124" s="35"/>
      <c r="AZ124" s="35"/>
      <c r="BA124" s="35"/>
      <c r="BB124" s="35">
        <v>24450</v>
      </c>
      <c r="BC124" s="35">
        <v>750</v>
      </c>
      <c r="BD124" s="35">
        <v>0</v>
      </c>
      <c r="BE124" s="35"/>
      <c r="BF124" s="35"/>
      <c r="BG124" s="35"/>
      <c r="BH124" s="35"/>
      <c r="BI124" s="35"/>
      <c r="BJ124" s="35"/>
      <c r="BK124" s="35">
        <f t="shared" si="162"/>
        <v>25200</v>
      </c>
      <c r="BL124" s="35"/>
      <c r="BM124" s="35"/>
      <c r="BN124" s="35"/>
      <c r="BO124" s="35">
        <v>24450</v>
      </c>
      <c r="BP124" s="35">
        <v>750</v>
      </c>
      <c r="BQ124" s="35">
        <v>0</v>
      </c>
      <c r="BR124" s="35"/>
      <c r="BS124" s="35"/>
      <c r="BT124" s="35"/>
      <c r="BU124" s="35"/>
      <c r="BV124" s="35"/>
      <c r="BW124" s="35"/>
      <c r="BX124" s="35">
        <f t="shared" si="99"/>
        <v>25200</v>
      </c>
      <c r="BY124" s="35"/>
      <c r="BZ124" s="35"/>
      <c r="CA124" s="35"/>
      <c r="CB124" s="35">
        <v>24450</v>
      </c>
      <c r="CC124" s="35">
        <v>750</v>
      </c>
      <c r="CD124" s="35">
        <v>0</v>
      </c>
      <c r="CE124" s="35"/>
      <c r="CF124" s="35"/>
      <c r="CG124" s="35"/>
      <c r="CH124" s="35"/>
      <c r="CI124" s="35"/>
      <c r="CJ124" s="35"/>
      <c r="CK124" s="35">
        <f t="shared" si="100"/>
        <v>25200</v>
      </c>
      <c r="CL124" s="35">
        <f t="shared" si="105"/>
        <v>75600</v>
      </c>
      <c r="CM124" s="35"/>
      <c r="CN124" s="35"/>
      <c r="CO124" s="35"/>
      <c r="CP124" s="35">
        <v>25470</v>
      </c>
      <c r="CQ124" s="35">
        <v>750</v>
      </c>
      <c r="CR124" s="35">
        <v>0</v>
      </c>
      <c r="CS124" s="35"/>
      <c r="CT124" s="35"/>
      <c r="CU124" s="35"/>
      <c r="CV124" s="35"/>
      <c r="CW124" s="35"/>
      <c r="CX124" s="35"/>
      <c r="CY124" s="35">
        <f t="shared" si="106"/>
        <v>26220</v>
      </c>
      <c r="CZ124" s="35"/>
      <c r="DA124" s="35"/>
      <c r="DB124" s="35"/>
      <c r="DC124" s="35">
        <f>6120+25470</f>
        <v>31590</v>
      </c>
      <c r="DD124" s="35">
        <v>750</v>
      </c>
      <c r="DE124" s="35">
        <v>0</v>
      </c>
      <c r="DF124" s="35"/>
      <c r="DG124" s="35"/>
      <c r="DH124" s="35"/>
      <c r="DI124" s="35"/>
      <c r="DJ124" s="35"/>
      <c r="DK124" s="35"/>
      <c r="DL124" s="35">
        <f t="shared" si="101"/>
        <v>32340</v>
      </c>
      <c r="DM124" s="35"/>
      <c r="DN124" s="35"/>
      <c r="DO124" s="35"/>
      <c r="DP124" s="35">
        <v>25470</v>
      </c>
      <c r="DQ124" s="35">
        <v>750</v>
      </c>
      <c r="DR124" s="35">
        <v>0</v>
      </c>
      <c r="DS124" s="35"/>
      <c r="DT124" s="35"/>
      <c r="DU124" s="35"/>
      <c r="DV124" s="35"/>
      <c r="DW124" s="35"/>
      <c r="DX124" s="35"/>
      <c r="DY124" s="35">
        <f t="shared" si="107"/>
        <v>26220</v>
      </c>
      <c r="DZ124" s="35">
        <f t="shared" si="108"/>
        <v>84780</v>
      </c>
      <c r="EA124" s="35"/>
      <c r="EB124" s="35"/>
      <c r="EC124" s="35"/>
      <c r="ED124" s="35">
        <v>25470</v>
      </c>
      <c r="EE124" s="35">
        <v>750</v>
      </c>
      <c r="EF124" s="35">
        <v>0</v>
      </c>
      <c r="EG124" s="35"/>
      <c r="EH124" s="35"/>
      <c r="EI124" s="35"/>
      <c r="EJ124" s="35"/>
      <c r="EK124" s="35"/>
      <c r="EL124" s="35"/>
      <c r="EM124" s="35">
        <f t="shared" si="109"/>
        <v>26220</v>
      </c>
      <c r="EN124" s="35"/>
      <c r="EO124" s="35"/>
      <c r="EP124" s="35"/>
      <c r="EQ124" s="35">
        <v>25470</v>
      </c>
      <c r="ER124" s="35">
        <v>750</v>
      </c>
      <c r="ES124" s="35">
        <v>0</v>
      </c>
      <c r="ET124" s="35"/>
      <c r="EU124" s="35"/>
      <c r="EV124" s="35"/>
      <c r="EW124" s="35"/>
      <c r="EX124" s="35"/>
      <c r="EY124" s="35"/>
      <c r="EZ124" s="35">
        <f t="shared" si="102"/>
        <v>26220</v>
      </c>
      <c r="FA124" s="35"/>
      <c r="FB124" s="35"/>
      <c r="FC124" s="35"/>
      <c r="FD124" s="35">
        <v>25470</v>
      </c>
      <c r="FE124" s="35">
        <v>750</v>
      </c>
      <c r="FF124" s="35">
        <v>0</v>
      </c>
      <c r="FG124" s="35"/>
      <c r="FH124" s="35"/>
      <c r="FI124" s="35"/>
      <c r="FJ124" s="35"/>
      <c r="FK124" s="35"/>
      <c r="FL124" s="35"/>
      <c r="FM124" s="35">
        <f t="shared" si="110"/>
        <v>26220</v>
      </c>
      <c r="FN124" s="35">
        <f t="shared" si="111"/>
        <v>78660</v>
      </c>
      <c r="FO124" s="35">
        <f t="shared" si="112"/>
        <v>314640</v>
      </c>
    </row>
    <row r="125" spans="1:171" x14ac:dyDescent="0.35">
      <c r="A125" s="34"/>
      <c r="B125" s="40"/>
      <c r="C125" s="58"/>
      <c r="D125" s="79" t="s">
        <v>204</v>
      </c>
      <c r="E125" s="58" t="s">
        <v>8</v>
      </c>
      <c r="F125" s="58" t="s">
        <v>17</v>
      </c>
      <c r="G125" s="58"/>
      <c r="H125" s="58"/>
      <c r="I125" s="58"/>
      <c r="J125" s="58"/>
      <c r="K125" s="35">
        <v>31140</v>
      </c>
      <c r="L125" s="35">
        <v>750</v>
      </c>
      <c r="M125" s="35">
        <v>0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>
        <f t="shared" si="161"/>
        <v>31890</v>
      </c>
      <c r="X125" s="35">
        <v>31140</v>
      </c>
      <c r="Y125" s="35">
        <v>750</v>
      </c>
      <c r="Z125" s="35">
        <v>0</v>
      </c>
      <c r="AA125" s="35"/>
      <c r="AB125" s="35"/>
      <c r="AC125" s="35"/>
      <c r="AD125" s="35"/>
      <c r="AE125" s="35"/>
      <c r="AF125" s="35"/>
      <c r="AG125" s="35"/>
      <c r="AH125" s="35"/>
      <c r="AI125" s="35"/>
      <c r="AJ125" s="35">
        <f t="shared" si="159"/>
        <v>31890</v>
      </c>
      <c r="AK125" s="35">
        <v>31140</v>
      </c>
      <c r="AL125" s="35">
        <v>750</v>
      </c>
      <c r="AM125" s="35">
        <v>0</v>
      </c>
      <c r="AN125" s="35"/>
      <c r="AO125" s="35"/>
      <c r="AP125" s="35"/>
      <c r="AQ125" s="35"/>
      <c r="AR125" s="35"/>
      <c r="AS125" s="35"/>
      <c r="AT125" s="35"/>
      <c r="AU125" s="35"/>
      <c r="AV125" s="35"/>
      <c r="AW125" s="35">
        <f t="shared" si="160"/>
        <v>31890</v>
      </c>
      <c r="AX125" s="35">
        <f t="shared" si="96"/>
        <v>95670</v>
      </c>
      <c r="AY125" s="35">
        <v>31140</v>
      </c>
      <c r="AZ125" s="35">
        <v>750</v>
      </c>
      <c r="BA125" s="35">
        <v>0</v>
      </c>
      <c r="BB125" s="35"/>
      <c r="BC125" s="35"/>
      <c r="BD125" s="35"/>
      <c r="BE125" s="35"/>
      <c r="BF125" s="35"/>
      <c r="BG125" s="35"/>
      <c r="BH125" s="35"/>
      <c r="BI125" s="35"/>
      <c r="BJ125" s="35"/>
      <c r="BK125" s="35">
        <f t="shared" si="162"/>
        <v>31890</v>
      </c>
      <c r="BL125" s="35">
        <v>31140</v>
      </c>
      <c r="BM125" s="35">
        <v>750</v>
      </c>
      <c r="BN125" s="35">
        <v>0</v>
      </c>
      <c r="BO125" s="35"/>
      <c r="BP125" s="35"/>
      <c r="BQ125" s="35"/>
      <c r="BR125" s="35"/>
      <c r="BS125" s="35"/>
      <c r="BT125" s="35"/>
      <c r="BU125" s="35"/>
      <c r="BV125" s="35"/>
      <c r="BW125" s="35"/>
      <c r="BX125" s="35">
        <f t="shared" si="99"/>
        <v>31890</v>
      </c>
      <c r="BY125" s="35">
        <v>31140</v>
      </c>
      <c r="BZ125" s="35">
        <v>750</v>
      </c>
      <c r="CA125" s="35">
        <v>0</v>
      </c>
      <c r="CB125" s="35"/>
      <c r="CC125" s="35"/>
      <c r="CD125" s="35"/>
      <c r="CE125" s="35"/>
      <c r="CF125" s="35"/>
      <c r="CG125" s="35"/>
      <c r="CH125" s="35"/>
      <c r="CI125" s="35"/>
      <c r="CJ125" s="35"/>
      <c r="CK125" s="35">
        <f t="shared" si="100"/>
        <v>31890</v>
      </c>
      <c r="CL125" s="35">
        <f t="shared" si="105"/>
        <v>95670</v>
      </c>
      <c r="CM125" s="35">
        <v>32330</v>
      </c>
      <c r="CN125" s="35">
        <v>750</v>
      </c>
      <c r="CO125" s="35">
        <v>0</v>
      </c>
      <c r="CP125" s="35"/>
      <c r="CQ125" s="35"/>
      <c r="CR125" s="35"/>
      <c r="CS125" s="35"/>
      <c r="CT125" s="35"/>
      <c r="CU125" s="35"/>
      <c r="CV125" s="35"/>
      <c r="CW125" s="35"/>
      <c r="CX125" s="35"/>
      <c r="CY125" s="35">
        <f t="shared" si="106"/>
        <v>33080</v>
      </c>
      <c r="CZ125" s="35">
        <f>7140+32330</f>
        <v>39470</v>
      </c>
      <c r="DA125" s="35">
        <v>750</v>
      </c>
      <c r="DB125" s="35">
        <v>0</v>
      </c>
      <c r="DC125" s="35"/>
      <c r="DD125" s="35"/>
      <c r="DE125" s="35"/>
      <c r="DF125" s="35"/>
      <c r="DG125" s="35"/>
      <c r="DH125" s="35"/>
      <c r="DI125" s="35"/>
      <c r="DJ125" s="35"/>
      <c r="DK125" s="35"/>
      <c r="DL125" s="35">
        <f t="shared" si="101"/>
        <v>40220</v>
      </c>
      <c r="DM125" s="35">
        <v>32330</v>
      </c>
      <c r="DN125" s="35">
        <v>750</v>
      </c>
      <c r="DO125" s="35">
        <v>0</v>
      </c>
      <c r="DP125" s="35"/>
      <c r="DQ125" s="35"/>
      <c r="DR125" s="35"/>
      <c r="DS125" s="35"/>
      <c r="DT125" s="35"/>
      <c r="DU125" s="35"/>
      <c r="DV125" s="35"/>
      <c r="DW125" s="35"/>
      <c r="DX125" s="35"/>
      <c r="DY125" s="35">
        <f t="shared" si="107"/>
        <v>33080</v>
      </c>
      <c r="DZ125" s="35">
        <f t="shared" si="108"/>
        <v>106380</v>
      </c>
      <c r="EA125" s="35">
        <v>32330</v>
      </c>
      <c r="EB125" s="35">
        <v>750</v>
      </c>
      <c r="EC125" s="35">
        <v>0</v>
      </c>
      <c r="ED125" s="35"/>
      <c r="EE125" s="35"/>
      <c r="EF125" s="35"/>
      <c r="EG125" s="35"/>
      <c r="EH125" s="35"/>
      <c r="EI125" s="35"/>
      <c r="EJ125" s="35"/>
      <c r="EK125" s="35"/>
      <c r="EL125" s="35"/>
      <c r="EM125" s="35">
        <f t="shared" si="109"/>
        <v>33080</v>
      </c>
      <c r="EN125" s="35">
        <v>32330</v>
      </c>
      <c r="EO125" s="35">
        <v>750</v>
      </c>
      <c r="EP125" s="35">
        <v>0</v>
      </c>
      <c r="EQ125" s="35"/>
      <c r="ER125" s="35"/>
      <c r="ES125" s="35"/>
      <c r="ET125" s="35"/>
      <c r="EU125" s="35"/>
      <c r="EV125" s="35"/>
      <c r="EW125" s="35"/>
      <c r="EX125" s="35"/>
      <c r="EY125" s="35"/>
      <c r="EZ125" s="35">
        <f t="shared" si="102"/>
        <v>33080</v>
      </c>
      <c r="FA125" s="35">
        <v>32330</v>
      </c>
      <c r="FB125" s="35">
        <v>750</v>
      </c>
      <c r="FC125" s="35">
        <v>0</v>
      </c>
      <c r="FD125" s="35"/>
      <c r="FE125" s="35"/>
      <c r="FF125" s="35"/>
      <c r="FG125" s="35"/>
      <c r="FH125" s="35"/>
      <c r="FI125" s="35"/>
      <c r="FJ125" s="35"/>
      <c r="FK125" s="35"/>
      <c r="FL125" s="35"/>
      <c r="FM125" s="35">
        <f t="shared" si="110"/>
        <v>33080</v>
      </c>
      <c r="FN125" s="35">
        <f t="shared" si="111"/>
        <v>99240</v>
      </c>
      <c r="FO125" s="35">
        <f t="shared" si="112"/>
        <v>396960</v>
      </c>
    </row>
    <row r="126" spans="1:171" x14ac:dyDescent="0.35">
      <c r="A126" s="34"/>
      <c r="B126" s="40"/>
      <c r="C126" s="58"/>
      <c r="D126" s="79" t="s">
        <v>205</v>
      </c>
      <c r="E126" s="58" t="s">
        <v>8</v>
      </c>
      <c r="F126" s="58" t="s">
        <v>17</v>
      </c>
      <c r="G126" s="58"/>
      <c r="H126" s="58"/>
      <c r="I126" s="58"/>
      <c r="J126" s="58"/>
      <c r="K126" s="35">
        <v>35040</v>
      </c>
      <c r="L126" s="35">
        <v>750</v>
      </c>
      <c r="M126" s="35">
        <v>1051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>
        <f t="shared" si="161"/>
        <v>36841</v>
      </c>
      <c r="X126" s="35">
        <v>35040</v>
      </c>
      <c r="Y126" s="35">
        <v>750</v>
      </c>
      <c r="Z126" s="35">
        <v>1051</v>
      </c>
      <c r="AA126" s="35"/>
      <c r="AB126" s="35"/>
      <c r="AC126" s="35"/>
      <c r="AD126" s="35"/>
      <c r="AE126" s="35"/>
      <c r="AF126" s="35"/>
      <c r="AG126" s="35"/>
      <c r="AH126" s="35"/>
      <c r="AI126" s="35"/>
      <c r="AJ126" s="35">
        <f t="shared" si="159"/>
        <v>36841</v>
      </c>
      <c r="AK126" s="35">
        <v>35040</v>
      </c>
      <c r="AL126" s="35">
        <v>750</v>
      </c>
      <c r="AM126" s="35">
        <v>1051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>
        <f t="shared" si="160"/>
        <v>36841</v>
      </c>
      <c r="AX126" s="35">
        <f t="shared" si="96"/>
        <v>110523</v>
      </c>
      <c r="AY126" s="35">
        <v>35040</v>
      </c>
      <c r="AZ126" s="35">
        <v>750</v>
      </c>
      <c r="BA126" s="35">
        <v>1051</v>
      </c>
      <c r="BB126" s="35"/>
      <c r="BC126" s="35"/>
      <c r="BD126" s="35"/>
      <c r="BE126" s="35"/>
      <c r="BF126" s="35"/>
      <c r="BG126" s="35"/>
      <c r="BH126" s="35"/>
      <c r="BI126" s="35"/>
      <c r="BJ126" s="35"/>
      <c r="BK126" s="35">
        <f t="shared" si="162"/>
        <v>36841</v>
      </c>
      <c r="BL126" s="35">
        <v>35040</v>
      </c>
      <c r="BM126" s="35">
        <v>750</v>
      </c>
      <c r="BN126" s="35">
        <v>1051</v>
      </c>
      <c r="BO126" s="35"/>
      <c r="BP126" s="35"/>
      <c r="BQ126" s="35"/>
      <c r="BR126" s="35"/>
      <c r="BS126" s="35"/>
      <c r="BT126" s="35"/>
      <c r="BU126" s="35"/>
      <c r="BV126" s="35"/>
      <c r="BW126" s="35"/>
      <c r="BX126" s="35">
        <f t="shared" si="99"/>
        <v>36841</v>
      </c>
      <c r="BY126" s="35">
        <v>35040</v>
      </c>
      <c r="BZ126" s="35">
        <v>750</v>
      </c>
      <c r="CA126" s="35">
        <v>1051</v>
      </c>
      <c r="CB126" s="35"/>
      <c r="CC126" s="35"/>
      <c r="CD126" s="35"/>
      <c r="CE126" s="35"/>
      <c r="CF126" s="35"/>
      <c r="CG126" s="35"/>
      <c r="CH126" s="35"/>
      <c r="CI126" s="35"/>
      <c r="CJ126" s="35"/>
      <c r="CK126" s="35">
        <f t="shared" si="100"/>
        <v>36841</v>
      </c>
      <c r="CL126" s="35">
        <f t="shared" si="105"/>
        <v>110523</v>
      </c>
      <c r="CM126" s="35">
        <v>36630</v>
      </c>
      <c r="CN126" s="35">
        <v>750</v>
      </c>
      <c r="CO126" s="35">
        <v>1099</v>
      </c>
      <c r="CP126" s="35"/>
      <c r="CQ126" s="35"/>
      <c r="CR126" s="35"/>
      <c r="CS126" s="35"/>
      <c r="CT126" s="35"/>
      <c r="CU126" s="35"/>
      <c r="CV126" s="35"/>
      <c r="CW126" s="35"/>
      <c r="CX126" s="35"/>
      <c r="CY126" s="35">
        <f t="shared" si="106"/>
        <v>38479</v>
      </c>
      <c r="CZ126" s="35">
        <f>9540+36630</f>
        <v>46170</v>
      </c>
      <c r="DA126" s="35">
        <v>750</v>
      </c>
      <c r="DB126" s="35">
        <f>288+1099</f>
        <v>1387</v>
      </c>
      <c r="DC126" s="35"/>
      <c r="DD126" s="35"/>
      <c r="DE126" s="35"/>
      <c r="DF126" s="35"/>
      <c r="DG126" s="35"/>
      <c r="DH126" s="35"/>
      <c r="DI126" s="35"/>
      <c r="DJ126" s="35"/>
      <c r="DK126" s="35"/>
      <c r="DL126" s="35">
        <f t="shared" si="101"/>
        <v>48307</v>
      </c>
      <c r="DM126" s="35">
        <v>36630</v>
      </c>
      <c r="DN126" s="35">
        <v>750</v>
      </c>
      <c r="DO126" s="35">
        <v>1099</v>
      </c>
      <c r="DP126" s="35"/>
      <c r="DQ126" s="35"/>
      <c r="DR126" s="35"/>
      <c r="DS126" s="35"/>
      <c r="DT126" s="35"/>
      <c r="DU126" s="35"/>
      <c r="DV126" s="35"/>
      <c r="DW126" s="35"/>
      <c r="DX126" s="35"/>
      <c r="DY126" s="35">
        <f t="shared" si="107"/>
        <v>38479</v>
      </c>
      <c r="DZ126" s="35">
        <f t="shared" si="108"/>
        <v>125265</v>
      </c>
      <c r="EA126" s="35">
        <v>36630</v>
      </c>
      <c r="EB126" s="35">
        <v>750</v>
      </c>
      <c r="EC126" s="35">
        <v>1099</v>
      </c>
      <c r="ED126" s="35"/>
      <c r="EE126" s="35"/>
      <c r="EF126" s="35"/>
      <c r="EG126" s="35"/>
      <c r="EH126" s="35"/>
      <c r="EI126" s="35"/>
      <c r="EJ126" s="35"/>
      <c r="EK126" s="35"/>
      <c r="EL126" s="35"/>
      <c r="EM126" s="35">
        <f t="shared" si="109"/>
        <v>38479</v>
      </c>
      <c r="EN126" s="35">
        <v>36630</v>
      </c>
      <c r="EO126" s="35">
        <v>750</v>
      </c>
      <c r="EP126" s="35">
        <v>1099</v>
      </c>
      <c r="EQ126" s="35"/>
      <c r="ER126" s="35"/>
      <c r="ES126" s="35"/>
      <c r="ET126" s="35"/>
      <c r="EU126" s="35"/>
      <c r="EV126" s="35"/>
      <c r="EW126" s="35"/>
      <c r="EX126" s="35"/>
      <c r="EY126" s="35"/>
      <c r="EZ126" s="35">
        <f t="shared" si="102"/>
        <v>38479</v>
      </c>
      <c r="FA126" s="35">
        <v>36630</v>
      </c>
      <c r="FB126" s="35">
        <v>750</v>
      </c>
      <c r="FC126" s="35">
        <v>1099</v>
      </c>
      <c r="FD126" s="35"/>
      <c r="FE126" s="35"/>
      <c r="FF126" s="35"/>
      <c r="FG126" s="35"/>
      <c r="FH126" s="35"/>
      <c r="FI126" s="35"/>
      <c r="FJ126" s="35"/>
      <c r="FK126" s="35"/>
      <c r="FL126" s="35"/>
      <c r="FM126" s="35">
        <f t="shared" si="110"/>
        <v>38479</v>
      </c>
      <c r="FN126" s="35">
        <f t="shared" si="111"/>
        <v>115437</v>
      </c>
      <c r="FO126" s="35">
        <f t="shared" si="112"/>
        <v>461748</v>
      </c>
    </row>
    <row r="127" spans="1:171" x14ac:dyDescent="0.35">
      <c r="A127" s="34"/>
      <c r="B127" s="40"/>
      <c r="C127" s="58"/>
      <c r="D127" s="79" t="s">
        <v>265</v>
      </c>
      <c r="E127" s="58" t="s">
        <v>8</v>
      </c>
      <c r="F127" s="58" t="s">
        <v>17</v>
      </c>
      <c r="G127" s="58"/>
      <c r="H127" s="58"/>
      <c r="I127" s="58"/>
      <c r="J127" s="58"/>
      <c r="K127" s="35">
        <v>26250</v>
      </c>
      <c r="L127" s="35">
        <v>750</v>
      </c>
      <c r="M127" s="35">
        <v>0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>
        <f t="shared" ref="W127" si="178">SUM(K127:V127)</f>
        <v>27000</v>
      </c>
      <c r="X127" s="35">
        <v>26250</v>
      </c>
      <c r="Y127" s="35">
        <v>750</v>
      </c>
      <c r="Z127" s="35">
        <v>0</v>
      </c>
      <c r="AA127" s="35"/>
      <c r="AB127" s="35"/>
      <c r="AC127" s="35"/>
      <c r="AD127" s="35"/>
      <c r="AE127" s="35"/>
      <c r="AF127" s="35"/>
      <c r="AG127" s="35"/>
      <c r="AH127" s="35"/>
      <c r="AI127" s="35"/>
      <c r="AJ127" s="35">
        <f t="shared" ref="AJ127" si="179">SUM(X127:AI127)</f>
        <v>27000</v>
      </c>
      <c r="AK127" s="35">
        <v>26250</v>
      </c>
      <c r="AL127" s="35">
        <v>750</v>
      </c>
      <c r="AM127" s="35">
        <v>0</v>
      </c>
      <c r="AN127" s="35"/>
      <c r="AO127" s="35"/>
      <c r="AP127" s="35"/>
      <c r="AQ127" s="35"/>
      <c r="AR127" s="35"/>
      <c r="AS127" s="35"/>
      <c r="AT127" s="35"/>
      <c r="AU127" s="35"/>
      <c r="AV127" s="35"/>
      <c r="AW127" s="35">
        <f t="shared" ref="AW127" si="180">SUM(AK127:AV127)</f>
        <v>27000</v>
      </c>
      <c r="AX127" s="35">
        <f t="shared" ref="AX127" si="181">+W127+AJ127+AW127</f>
        <v>81000</v>
      </c>
      <c r="AY127" s="35">
        <v>26250</v>
      </c>
      <c r="AZ127" s="35">
        <v>750</v>
      </c>
      <c r="BA127" s="35">
        <v>0</v>
      </c>
      <c r="BB127" s="35"/>
      <c r="BC127" s="35"/>
      <c r="BD127" s="35"/>
      <c r="BE127" s="35"/>
      <c r="BF127" s="35"/>
      <c r="BG127" s="35"/>
      <c r="BH127" s="35"/>
      <c r="BI127" s="35"/>
      <c r="BJ127" s="35"/>
      <c r="BK127" s="35">
        <f t="shared" ref="BK127" si="182">SUM(AY127:BJ127)</f>
        <v>27000</v>
      </c>
      <c r="BL127" s="35">
        <v>26250</v>
      </c>
      <c r="BM127" s="35">
        <v>750</v>
      </c>
      <c r="BN127" s="35">
        <v>0</v>
      </c>
      <c r="BO127" s="35"/>
      <c r="BP127" s="35"/>
      <c r="BQ127" s="35"/>
      <c r="BR127" s="35"/>
      <c r="BS127" s="35"/>
      <c r="BT127" s="35"/>
      <c r="BU127" s="35"/>
      <c r="BV127" s="35"/>
      <c r="BW127" s="35"/>
      <c r="BX127" s="35">
        <f t="shared" ref="BX127" si="183">SUM(BL127:BW127)</f>
        <v>27000</v>
      </c>
      <c r="BY127" s="35">
        <v>26250</v>
      </c>
      <c r="BZ127" s="35">
        <v>750</v>
      </c>
      <c r="CA127" s="35">
        <v>0</v>
      </c>
      <c r="CB127" s="35"/>
      <c r="CC127" s="35"/>
      <c r="CD127" s="35"/>
      <c r="CE127" s="35"/>
      <c r="CF127" s="35"/>
      <c r="CG127" s="35"/>
      <c r="CH127" s="35"/>
      <c r="CI127" s="35"/>
      <c r="CJ127" s="35"/>
      <c r="CK127" s="35">
        <f t="shared" ref="CK127" si="184">SUM(BY127:CJ127)</f>
        <v>27000</v>
      </c>
      <c r="CL127" s="35">
        <f t="shared" ref="CL127" si="185">+BK127+BX127+CK127</f>
        <v>81000</v>
      </c>
      <c r="CM127" s="35">
        <v>27130</v>
      </c>
      <c r="CN127" s="35">
        <v>750</v>
      </c>
      <c r="CO127" s="35">
        <v>0</v>
      </c>
      <c r="CP127" s="35"/>
      <c r="CQ127" s="35"/>
      <c r="CR127" s="35"/>
      <c r="CS127" s="35"/>
      <c r="CT127" s="35"/>
      <c r="CU127" s="35"/>
      <c r="CV127" s="35"/>
      <c r="CW127" s="35"/>
      <c r="CX127" s="35"/>
      <c r="CY127" s="35">
        <f t="shared" ref="CY127" si="186">SUM(CM127:CX127)</f>
        <v>27880</v>
      </c>
      <c r="CZ127" s="35">
        <f>5280+27130</f>
        <v>32410</v>
      </c>
      <c r="DA127" s="35">
        <v>750</v>
      </c>
      <c r="DB127" s="35">
        <v>0</v>
      </c>
      <c r="DC127" s="35"/>
      <c r="DD127" s="35"/>
      <c r="DE127" s="35"/>
      <c r="DF127" s="35"/>
      <c r="DG127" s="35"/>
      <c r="DH127" s="35"/>
      <c r="DI127" s="35"/>
      <c r="DJ127" s="35"/>
      <c r="DK127" s="35"/>
      <c r="DL127" s="35">
        <f t="shared" ref="DL127" si="187">SUM(CZ127:DK127)</f>
        <v>33160</v>
      </c>
      <c r="DM127" s="35">
        <v>27130</v>
      </c>
      <c r="DN127" s="35">
        <v>750</v>
      </c>
      <c r="DO127" s="35">
        <v>0</v>
      </c>
      <c r="DP127" s="35"/>
      <c r="DQ127" s="35"/>
      <c r="DR127" s="35"/>
      <c r="DS127" s="35"/>
      <c r="DT127" s="35"/>
      <c r="DU127" s="35"/>
      <c r="DV127" s="35"/>
      <c r="DW127" s="35"/>
      <c r="DX127" s="35"/>
      <c r="DY127" s="35">
        <f t="shared" ref="DY127" si="188">SUM(DM127:DX127)</f>
        <v>27880</v>
      </c>
      <c r="DZ127" s="35">
        <f t="shared" ref="DZ127" si="189">+CY127+DL127+DY127</f>
        <v>88920</v>
      </c>
      <c r="EA127" s="35">
        <v>27130</v>
      </c>
      <c r="EB127" s="35">
        <v>750</v>
      </c>
      <c r="EC127" s="35">
        <v>0</v>
      </c>
      <c r="ED127" s="35"/>
      <c r="EE127" s="35"/>
      <c r="EF127" s="35"/>
      <c r="EG127" s="35"/>
      <c r="EH127" s="35"/>
      <c r="EI127" s="35"/>
      <c r="EJ127" s="35"/>
      <c r="EK127" s="35"/>
      <c r="EL127" s="35"/>
      <c r="EM127" s="35">
        <f t="shared" ref="EM127" si="190">SUM(EA127:EL127)</f>
        <v>27880</v>
      </c>
      <c r="EN127" s="35">
        <v>27130</v>
      </c>
      <c r="EO127" s="35">
        <v>750</v>
      </c>
      <c r="EP127" s="35">
        <v>0</v>
      </c>
      <c r="EQ127" s="35"/>
      <c r="ER127" s="35"/>
      <c r="ES127" s="35"/>
      <c r="ET127" s="35"/>
      <c r="EU127" s="35"/>
      <c r="EV127" s="35"/>
      <c r="EW127" s="35"/>
      <c r="EX127" s="35"/>
      <c r="EY127" s="35"/>
      <c r="EZ127" s="35">
        <f t="shared" ref="EZ127" si="191">SUM(EN127:EY127)</f>
        <v>27880</v>
      </c>
      <c r="FA127" s="35">
        <v>27130</v>
      </c>
      <c r="FB127" s="35">
        <v>750</v>
      </c>
      <c r="FC127" s="35">
        <v>0</v>
      </c>
      <c r="FD127" s="35"/>
      <c r="FE127" s="35"/>
      <c r="FF127" s="35"/>
      <c r="FG127" s="35"/>
      <c r="FH127" s="35"/>
      <c r="FI127" s="35"/>
      <c r="FJ127" s="35"/>
      <c r="FK127" s="35"/>
      <c r="FL127" s="35"/>
      <c r="FM127" s="35">
        <f t="shared" ref="FM127" si="192">SUM(FA127:FL127)</f>
        <v>27880</v>
      </c>
      <c r="FN127" s="35">
        <f t="shared" ref="FN127" si="193">+EM127+EZ127+FM127</f>
        <v>83640</v>
      </c>
      <c r="FO127" s="35">
        <f t="shared" ref="FO127" si="194">+AX127+CL127+DZ127+FN127</f>
        <v>334560</v>
      </c>
    </row>
    <row r="128" spans="1:171" x14ac:dyDescent="0.35">
      <c r="A128" s="34"/>
      <c r="B128" s="40"/>
      <c r="C128" s="58"/>
      <c r="D128" s="41"/>
      <c r="E128" s="58"/>
      <c r="F128" s="58"/>
      <c r="G128" s="58"/>
      <c r="H128" s="58"/>
      <c r="I128" s="58"/>
      <c r="J128" s="58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>
        <f t="shared" si="161"/>
        <v>0</v>
      </c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>
        <f t="shared" si="159"/>
        <v>0</v>
      </c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>
        <f t="shared" si="160"/>
        <v>0</v>
      </c>
      <c r="AX128" s="35">
        <f t="shared" si="96"/>
        <v>0</v>
      </c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>
        <f t="shared" si="162"/>
        <v>0</v>
      </c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>
        <f t="shared" si="99"/>
        <v>0</v>
      </c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>
        <f t="shared" si="100"/>
        <v>0</v>
      </c>
      <c r="CL128" s="35">
        <f t="shared" si="105"/>
        <v>0</v>
      </c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>
        <f t="shared" si="106"/>
        <v>0</v>
      </c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>
        <f t="shared" si="101"/>
        <v>0</v>
      </c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>
        <f t="shared" si="107"/>
        <v>0</v>
      </c>
      <c r="DZ128" s="35">
        <f t="shared" si="108"/>
        <v>0</v>
      </c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>
        <f t="shared" si="109"/>
        <v>0</v>
      </c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>
        <f t="shared" si="102"/>
        <v>0</v>
      </c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>
        <f t="shared" si="110"/>
        <v>0</v>
      </c>
      <c r="FN128" s="35">
        <f t="shared" si="111"/>
        <v>0</v>
      </c>
      <c r="FO128" s="35">
        <f t="shared" si="112"/>
        <v>0</v>
      </c>
    </row>
    <row r="129" spans="1:171" x14ac:dyDescent="0.35">
      <c r="A129" s="48"/>
      <c r="B129" s="49" t="s">
        <v>106</v>
      </c>
      <c r="C129" s="59"/>
      <c r="D129" s="50"/>
      <c r="E129" s="59"/>
      <c r="F129" s="59"/>
      <c r="G129" s="59"/>
      <c r="H129" s="59"/>
      <c r="I129" s="59"/>
      <c r="J129" s="59"/>
      <c r="K129" s="51">
        <f>SUM(K124:K128)</f>
        <v>92430</v>
      </c>
      <c r="L129" s="51">
        <f t="shared" ref="L129:V129" si="195">SUM(L124:L128)</f>
        <v>2250</v>
      </c>
      <c r="M129" s="51">
        <f t="shared" si="195"/>
        <v>1051</v>
      </c>
      <c r="N129" s="51">
        <f t="shared" si="195"/>
        <v>24450</v>
      </c>
      <c r="O129" s="51">
        <f t="shared" si="195"/>
        <v>750</v>
      </c>
      <c r="P129" s="51">
        <f t="shared" si="195"/>
        <v>0</v>
      </c>
      <c r="Q129" s="51">
        <f t="shared" si="195"/>
        <v>0</v>
      </c>
      <c r="R129" s="51">
        <f t="shared" si="195"/>
        <v>0</v>
      </c>
      <c r="S129" s="51">
        <f t="shared" si="195"/>
        <v>0</v>
      </c>
      <c r="T129" s="51">
        <f t="shared" si="195"/>
        <v>0</v>
      </c>
      <c r="U129" s="51">
        <f t="shared" si="195"/>
        <v>0</v>
      </c>
      <c r="V129" s="51">
        <f t="shared" si="195"/>
        <v>0</v>
      </c>
      <c r="W129" s="51">
        <f t="shared" si="161"/>
        <v>120931</v>
      </c>
      <c r="X129" s="51">
        <f>SUM(X124:X128)</f>
        <v>92430</v>
      </c>
      <c r="Y129" s="51">
        <f t="shared" ref="Y129:AI129" si="196">SUM(Y124:Y128)</f>
        <v>2250</v>
      </c>
      <c r="Z129" s="51">
        <f t="shared" si="196"/>
        <v>1051</v>
      </c>
      <c r="AA129" s="51">
        <f t="shared" si="196"/>
        <v>24450</v>
      </c>
      <c r="AB129" s="51">
        <f t="shared" si="196"/>
        <v>750</v>
      </c>
      <c r="AC129" s="51">
        <f t="shared" si="196"/>
        <v>0</v>
      </c>
      <c r="AD129" s="51">
        <f t="shared" si="196"/>
        <v>0</v>
      </c>
      <c r="AE129" s="51">
        <f t="shared" si="196"/>
        <v>0</v>
      </c>
      <c r="AF129" s="51">
        <f t="shared" si="196"/>
        <v>0</v>
      </c>
      <c r="AG129" s="51">
        <f t="shared" si="196"/>
        <v>0</v>
      </c>
      <c r="AH129" s="51">
        <f t="shared" si="196"/>
        <v>0</v>
      </c>
      <c r="AI129" s="51">
        <f t="shared" si="196"/>
        <v>0</v>
      </c>
      <c r="AJ129" s="51">
        <f t="shared" si="159"/>
        <v>120931</v>
      </c>
      <c r="AK129" s="51">
        <f>SUM(AK124:AK128)</f>
        <v>92430</v>
      </c>
      <c r="AL129" s="51">
        <f t="shared" ref="AL129:AV129" si="197">SUM(AL124:AL128)</f>
        <v>2250</v>
      </c>
      <c r="AM129" s="51">
        <f t="shared" si="197"/>
        <v>1051</v>
      </c>
      <c r="AN129" s="51">
        <f t="shared" si="197"/>
        <v>24450</v>
      </c>
      <c r="AO129" s="51">
        <f t="shared" si="197"/>
        <v>750</v>
      </c>
      <c r="AP129" s="51">
        <f t="shared" si="197"/>
        <v>0</v>
      </c>
      <c r="AQ129" s="51">
        <f t="shared" si="197"/>
        <v>0</v>
      </c>
      <c r="AR129" s="51">
        <f t="shared" si="197"/>
        <v>0</v>
      </c>
      <c r="AS129" s="51">
        <f t="shared" si="197"/>
        <v>0</v>
      </c>
      <c r="AT129" s="51">
        <f t="shared" si="197"/>
        <v>0</v>
      </c>
      <c r="AU129" s="51">
        <f t="shared" si="197"/>
        <v>0</v>
      </c>
      <c r="AV129" s="51">
        <f t="shared" si="197"/>
        <v>0</v>
      </c>
      <c r="AW129" s="51">
        <f t="shared" si="160"/>
        <v>120931</v>
      </c>
      <c r="AX129" s="51">
        <f t="shared" si="96"/>
        <v>362793</v>
      </c>
      <c r="AY129" s="51">
        <f>SUM(AY124:AY128)</f>
        <v>92430</v>
      </c>
      <c r="AZ129" s="51">
        <f t="shared" ref="AZ129:BJ129" si="198">SUM(AZ124:AZ128)</f>
        <v>2250</v>
      </c>
      <c r="BA129" s="51">
        <f t="shared" si="198"/>
        <v>1051</v>
      </c>
      <c r="BB129" s="51">
        <f t="shared" si="198"/>
        <v>24450</v>
      </c>
      <c r="BC129" s="51">
        <f t="shared" si="198"/>
        <v>750</v>
      </c>
      <c r="BD129" s="51">
        <f t="shared" si="198"/>
        <v>0</v>
      </c>
      <c r="BE129" s="51">
        <f t="shared" si="198"/>
        <v>0</v>
      </c>
      <c r="BF129" s="51">
        <f t="shared" si="198"/>
        <v>0</v>
      </c>
      <c r="BG129" s="51">
        <f t="shared" si="198"/>
        <v>0</v>
      </c>
      <c r="BH129" s="51">
        <f t="shared" si="198"/>
        <v>0</v>
      </c>
      <c r="BI129" s="51">
        <f t="shared" si="198"/>
        <v>0</v>
      </c>
      <c r="BJ129" s="51">
        <f t="shared" si="198"/>
        <v>0</v>
      </c>
      <c r="BK129" s="51">
        <f t="shared" si="162"/>
        <v>120931</v>
      </c>
      <c r="BL129" s="51">
        <f>SUM(BL124:BL128)</f>
        <v>92430</v>
      </c>
      <c r="BM129" s="51">
        <f t="shared" ref="BM129:BW129" si="199">SUM(BM124:BM128)</f>
        <v>2250</v>
      </c>
      <c r="BN129" s="51">
        <f t="shared" si="199"/>
        <v>1051</v>
      </c>
      <c r="BO129" s="51">
        <f t="shared" si="199"/>
        <v>24450</v>
      </c>
      <c r="BP129" s="51">
        <f t="shared" si="199"/>
        <v>750</v>
      </c>
      <c r="BQ129" s="51">
        <f t="shared" si="199"/>
        <v>0</v>
      </c>
      <c r="BR129" s="51">
        <f t="shared" si="199"/>
        <v>0</v>
      </c>
      <c r="BS129" s="51">
        <f t="shared" si="199"/>
        <v>0</v>
      </c>
      <c r="BT129" s="51">
        <f t="shared" si="199"/>
        <v>0</v>
      </c>
      <c r="BU129" s="51">
        <f t="shared" si="199"/>
        <v>0</v>
      </c>
      <c r="BV129" s="51">
        <f t="shared" si="199"/>
        <v>0</v>
      </c>
      <c r="BW129" s="51">
        <f t="shared" si="199"/>
        <v>0</v>
      </c>
      <c r="BX129" s="51">
        <f t="shared" si="99"/>
        <v>120931</v>
      </c>
      <c r="BY129" s="51">
        <f>SUM(BY124:BY128)</f>
        <v>92430</v>
      </c>
      <c r="BZ129" s="51">
        <f t="shared" ref="BZ129:CJ129" si="200">SUM(BZ124:BZ128)</f>
        <v>2250</v>
      </c>
      <c r="CA129" s="51">
        <f t="shared" si="200"/>
        <v>1051</v>
      </c>
      <c r="CB129" s="51">
        <f t="shared" si="200"/>
        <v>24450</v>
      </c>
      <c r="CC129" s="51">
        <f t="shared" si="200"/>
        <v>750</v>
      </c>
      <c r="CD129" s="51">
        <f t="shared" si="200"/>
        <v>0</v>
      </c>
      <c r="CE129" s="51">
        <f t="shared" si="200"/>
        <v>0</v>
      </c>
      <c r="CF129" s="51">
        <f t="shared" si="200"/>
        <v>0</v>
      </c>
      <c r="CG129" s="51">
        <f t="shared" si="200"/>
        <v>0</v>
      </c>
      <c r="CH129" s="51">
        <f t="shared" si="200"/>
        <v>0</v>
      </c>
      <c r="CI129" s="51">
        <f t="shared" si="200"/>
        <v>0</v>
      </c>
      <c r="CJ129" s="51">
        <f t="shared" si="200"/>
        <v>0</v>
      </c>
      <c r="CK129" s="51">
        <f t="shared" si="100"/>
        <v>120931</v>
      </c>
      <c r="CL129" s="51">
        <f t="shared" si="105"/>
        <v>362793</v>
      </c>
      <c r="CM129" s="51">
        <f>SUM(CM124:CM128)</f>
        <v>96090</v>
      </c>
      <c r="CN129" s="51">
        <f t="shared" ref="CN129:CX129" si="201">SUM(CN124:CN128)</f>
        <v>2250</v>
      </c>
      <c r="CO129" s="51">
        <f t="shared" si="201"/>
        <v>1099</v>
      </c>
      <c r="CP129" s="51">
        <f t="shared" si="201"/>
        <v>25470</v>
      </c>
      <c r="CQ129" s="51">
        <f t="shared" si="201"/>
        <v>750</v>
      </c>
      <c r="CR129" s="51">
        <f t="shared" si="201"/>
        <v>0</v>
      </c>
      <c r="CS129" s="51">
        <f t="shared" si="201"/>
        <v>0</v>
      </c>
      <c r="CT129" s="51">
        <f t="shared" si="201"/>
        <v>0</v>
      </c>
      <c r="CU129" s="51">
        <f t="shared" si="201"/>
        <v>0</v>
      </c>
      <c r="CV129" s="51">
        <f t="shared" si="201"/>
        <v>0</v>
      </c>
      <c r="CW129" s="51">
        <f t="shared" si="201"/>
        <v>0</v>
      </c>
      <c r="CX129" s="51">
        <f t="shared" si="201"/>
        <v>0</v>
      </c>
      <c r="CY129" s="51">
        <f t="shared" si="106"/>
        <v>125659</v>
      </c>
      <c r="CZ129" s="51">
        <f>SUM(CZ124:CZ128)</f>
        <v>118050</v>
      </c>
      <c r="DA129" s="51">
        <f t="shared" ref="DA129:DK129" si="202">SUM(DA124:DA128)</f>
        <v>2250</v>
      </c>
      <c r="DB129" s="51">
        <f t="shared" si="202"/>
        <v>1387</v>
      </c>
      <c r="DC129" s="51">
        <f t="shared" si="202"/>
        <v>31590</v>
      </c>
      <c r="DD129" s="51">
        <f t="shared" si="202"/>
        <v>750</v>
      </c>
      <c r="DE129" s="51">
        <f t="shared" si="202"/>
        <v>0</v>
      </c>
      <c r="DF129" s="51">
        <f t="shared" si="202"/>
        <v>0</v>
      </c>
      <c r="DG129" s="51">
        <f t="shared" si="202"/>
        <v>0</v>
      </c>
      <c r="DH129" s="51">
        <f t="shared" si="202"/>
        <v>0</v>
      </c>
      <c r="DI129" s="51">
        <f t="shared" si="202"/>
        <v>0</v>
      </c>
      <c r="DJ129" s="51">
        <f t="shared" si="202"/>
        <v>0</v>
      </c>
      <c r="DK129" s="51">
        <f t="shared" si="202"/>
        <v>0</v>
      </c>
      <c r="DL129" s="51">
        <f t="shared" si="101"/>
        <v>154027</v>
      </c>
      <c r="DM129" s="51">
        <f>SUM(DM124:DM128)</f>
        <v>96090</v>
      </c>
      <c r="DN129" s="51">
        <f t="shared" ref="DN129:DX129" si="203">SUM(DN124:DN128)</f>
        <v>2250</v>
      </c>
      <c r="DO129" s="51">
        <f t="shared" si="203"/>
        <v>1099</v>
      </c>
      <c r="DP129" s="51">
        <f t="shared" si="203"/>
        <v>25470</v>
      </c>
      <c r="DQ129" s="51">
        <f t="shared" si="203"/>
        <v>750</v>
      </c>
      <c r="DR129" s="51">
        <f t="shared" si="203"/>
        <v>0</v>
      </c>
      <c r="DS129" s="51">
        <f t="shared" si="203"/>
        <v>0</v>
      </c>
      <c r="DT129" s="51">
        <f t="shared" si="203"/>
        <v>0</v>
      </c>
      <c r="DU129" s="51">
        <f t="shared" si="203"/>
        <v>0</v>
      </c>
      <c r="DV129" s="51">
        <f t="shared" si="203"/>
        <v>0</v>
      </c>
      <c r="DW129" s="51">
        <f t="shared" si="203"/>
        <v>0</v>
      </c>
      <c r="DX129" s="51">
        <f t="shared" si="203"/>
        <v>0</v>
      </c>
      <c r="DY129" s="51">
        <f t="shared" si="107"/>
        <v>125659</v>
      </c>
      <c r="DZ129" s="51">
        <f t="shared" si="108"/>
        <v>405345</v>
      </c>
      <c r="EA129" s="51">
        <f>SUM(EA124:EA128)</f>
        <v>96090</v>
      </c>
      <c r="EB129" s="51">
        <f t="shared" ref="EB129:EL129" si="204">SUM(EB124:EB128)</f>
        <v>2250</v>
      </c>
      <c r="EC129" s="51">
        <f t="shared" si="204"/>
        <v>1099</v>
      </c>
      <c r="ED129" s="51">
        <f t="shared" si="204"/>
        <v>25470</v>
      </c>
      <c r="EE129" s="51">
        <f t="shared" si="204"/>
        <v>750</v>
      </c>
      <c r="EF129" s="51">
        <f t="shared" si="204"/>
        <v>0</v>
      </c>
      <c r="EG129" s="51">
        <f t="shared" si="204"/>
        <v>0</v>
      </c>
      <c r="EH129" s="51">
        <f t="shared" si="204"/>
        <v>0</v>
      </c>
      <c r="EI129" s="51">
        <f t="shared" si="204"/>
        <v>0</v>
      </c>
      <c r="EJ129" s="51">
        <f t="shared" si="204"/>
        <v>0</v>
      </c>
      <c r="EK129" s="51">
        <f t="shared" si="204"/>
        <v>0</v>
      </c>
      <c r="EL129" s="51">
        <f t="shared" si="204"/>
        <v>0</v>
      </c>
      <c r="EM129" s="51">
        <f t="shared" si="109"/>
        <v>125659</v>
      </c>
      <c r="EN129" s="51">
        <f>SUM(EN124:EN128)</f>
        <v>96090</v>
      </c>
      <c r="EO129" s="51">
        <f t="shared" ref="EO129:EY129" si="205">SUM(EO124:EO128)</f>
        <v>2250</v>
      </c>
      <c r="EP129" s="51">
        <f t="shared" si="205"/>
        <v>1099</v>
      </c>
      <c r="EQ129" s="51">
        <f t="shared" si="205"/>
        <v>25470</v>
      </c>
      <c r="ER129" s="51">
        <f t="shared" si="205"/>
        <v>750</v>
      </c>
      <c r="ES129" s="51">
        <f t="shared" si="205"/>
        <v>0</v>
      </c>
      <c r="ET129" s="51">
        <f t="shared" si="205"/>
        <v>0</v>
      </c>
      <c r="EU129" s="51">
        <f t="shared" si="205"/>
        <v>0</v>
      </c>
      <c r="EV129" s="51">
        <f t="shared" si="205"/>
        <v>0</v>
      </c>
      <c r="EW129" s="51">
        <f t="shared" si="205"/>
        <v>0</v>
      </c>
      <c r="EX129" s="51">
        <f t="shared" si="205"/>
        <v>0</v>
      </c>
      <c r="EY129" s="51">
        <f t="shared" si="205"/>
        <v>0</v>
      </c>
      <c r="EZ129" s="51">
        <f t="shared" si="102"/>
        <v>125659</v>
      </c>
      <c r="FA129" s="51">
        <f>SUM(FA124:FA128)</f>
        <v>96090</v>
      </c>
      <c r="FB129" s="51">
        <f t="shared" ref="FB129:FL129" si="206">SUM(FB124:FB128)</f>
        <v>2250</v>
      </c>
      <c r="FC129" s="51">
        <f t="shared" si="206"/>
        <v>1099</v>
      </c>
      <c r="FD129" s="51">
        <f t="shared" si="206"/>
        <v>25470</v>
      </c>
      <c r="FE129" s="51">
        <f t="shared" si="206"/>
        <v>750</v>
      </c>
      <c r="FF129" s="51">
        <f t="shared" si="206"/>
        <v>0</v>
      </c>
      <c r="FG129" s="51">
        <f t="shared" si="206"/>
        <v>0</v>
      </c>
      <c r="FH129" s="51">
        <f t="shared" si="206"/>
        <v>0</v>
      </c>
      <c r="FI129" s="51">
        <f t="shared" si="206"/>
        <v>0</v>
      </c>
      <c r="FJ129" s="51">
        <f t="shared" si="206"/>
        <v>0</v>
      </c>
      <c r="FK129" s="51">
        <f t="shared" si="206"/>
        <v>0</v>
      </c>
      <c r="FL129" s="51">
        <f t="shared" si="206"/>
        <v>0</v>
      </c>
      <c r="FM129" s="51">
        <f t="shared" si="110"/>
        <v>125659</v>
      </c>
      <c r="FN129" s="51">
        <f t="shared" si="111"/>
        <v>376977</v>
      </c>
      <c r="FO129" s="35">
        <f t="shared" si="112"/>
        <v>1507908</v>
      </c>
    </row>
    <row r="130" spans="1:171" x14ac:dyDescent="0.35">
      <c r="A130" s="34" t="s">
        <v>4</v>
      </c>
      <c r="B130" s="40" t="s">
        <v>27</v>
      </c>
      <c r="C130" s="58"/>
      <c r="D130" s="41"/>
      <c r="E130" s="58"/>
      <c r="F130" s="58"/>
      <c r="G130" s="58"/>
      <c r="H130" s="58"/>
      <c r="I130" s="58"/>
      <c r="J130" s="58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>
        <f t="shared" si="161"/>
        <v>0</v>
      </c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>
        <f t="shared" si="159"/>
        <v>0</v>
      </c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>
        <f t="shared" si="160"/>
        <v>0</v>
      </c>
      <c r="AX130" s="35">
        <f t="shared" si="96"/>
        <v>0</v>
      </c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>
        <f t="shared" si="162"/>
        <v>0</v>
      </c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>
        <f t="shared" si="99"/>
        <v>0</v>
      </c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>
        <f t="shared" si="100"/>
        <v>0</v>
      </c>
      <c r="CL130" s="35">
        <f t="shared" si="105"/>
        <v>0</v>
      </c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>
        <f t="shared" si="106"/>
        <v>0</v>
      </c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>
        <f t="shared" si="101"/>
        <v>0</v>
      </c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>
        <f t="shared" si="107"/>
        <v>0</v>
      </c>
      <c r="DZ130" s="35">
        <f t="shared" si="108"/>
        <v>0</v>
      </c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>
        <f t="shared" si="109"/>
        <v>0</v>
      </c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>
        <f t="shared" si="102"/>
        <v>0</v>
      </c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>
        <f t="shared" si="110"/>
        <v>0</v>
      </c>
      <c r="FN130" s="35">
        <f t="shared" si="111"/>
        <v>0</v>
      </c>
      <c r="FO130" s="35">
        <f t="shared" si="112"/>
        <v>0</v>
      </c>
    </row>
    <row r="131" spans="1:171" x14ac:dyDescent="0.35">
      <c r="A131" s="34"/>
      <c r="B131" s="40"/>
      <c r="C131" s="58"/>
      <c r="D131" s="79" t="s">
        <v>206</v>
      </c>
      <c r="E131" s="58" t="s">
        <v>8</v>
      </c>
      <c r="F131" s="58" t="s">
        <v>17</v>
      </c>
      <c r="G131" s="58"/>
      <c r="H131" s="58"/>
      <c r="I131" s="58"/>
      <c r="J131" s="58"/>
      <c r="K131" s="35">
        <v>38320</v>
      </c>
      <c r="L131" s="35">
        <v>750</v>
      </c>
      <c r="M131" s="35">
        <v>1150</v>
      </c>
      <c r="N131" s="35"/>
      <c r="O131" s="35"/>
      <c r="P131" s="35"/>
      <c r="Q131" s="35"/>
      <c r="R131" s="35"/>
      <c r="S131" s="35"/>
      <c r="T131" s="35"/>
      <c r="U131" s="35"/>
      <c r="V131" s="35"/>
      <c r="W131" s="35">
        <f t="shared" si="161"/>
        <v>40220</v>
      </c>
      <c r="X131" s="35">
        <v>38320</v>
      </c>
      <c r="Y131" s="35">
        <v>750</v>
      </c>
      <c r="Z131" s="35">
        <v>1150</v>
      </c>
      <c r="AA131" s="35"/>
      <c r="AB131" s="35"/>
      <c r="AC131" s="35"/>
      <c r="AD131" s="35"/>
      <c r="AE131" s="35"/>
      <c r="AF131" s="35"/>
      <c r="AG131" s="35"/>
      <c r="AH131" s="35"/>
      <c r="AI131" s="35"/>
      <c r="AJ131" s="35">
        <f t="shared" si="159"/>
        <v>40220</v>
      </c>
      <c r="AK131" s="35">
        <v>38320</v>
      </c>
      <c r="AL131" s="35">
        <v>750</v>
      </c>
      <c r="AM131" s="35">
        <v>1150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>
        <f t="shared" si="160"/>
        <v>40220</v>
      </c>
      <c r="AX131" s="35">
        <f t="shared" si="96"/>
        <v>120660</v>
      </c>
      <c r="AY131" s="35">
        <v>38320</v>
      </c>
      <c r="AZ131" s="35">
        <v>750</v>
      </c>
      <c r="BA131" s="35">
        <v>1150</v>
      </c>
      <c r="BB131" s="35"/>
      <c r="BC131" s="35"/>
      <c r="BD131" s="35"/>
      <c r="BE131" s="35"/>
      <c r="BF131" s="35"/>
      <c r="BG131" s="35"/>
      <c r="BH131" s="35"/>
      <c r="BI131" s="35"/>
      <c r="BJ131" s="35"/>
      <c r="BK131" s="35">
        <f t="shared" si="162"/>
        <v>40220</v>
      </c>
      <c r="BL131" s="35">
        <v>38320</v>
      </c>
      <c r="BM131" s="35">
        <v>750</v>
      </c>
      <c r="BN131" s="35">
        <v>1150</v>
      </c>
      <c r="BO131" s="35"/>
      <c r="BP131" s="35"/>
      <c r="BQ131" s="35"/>
      <c r="BR131" s="35"/>
      <c r="BS131" s="35"/>
      <c r="BT131" s="35"/>
      <c r="BU131" s="35"/>
      <c r="BV131" s="35"/>
      <c r="BW131" s="35"/>
      <c r="BX131" s="35">
        <f t="shared" si="99"/>
        <v>40220</v>
      </c>
      <c r="BY131" s="35">
        <v>38320</v>
      </c>
      <c r="BZ131" s="35">
        <v>750</v>
      </c>
      <c r="CA131" s="35">
        <v>1150</v>
      </c>
      <c r="CB131" s="35"/>
      <c r="CC131" s="35"/>
      <c r="CD131" s="35"/>
      <c r="CE131" s="35"/>
      <c r="CF131" s="35"/>
      <c r="CG131" s="35"/>
      <c r="CH131" s="35"/>
      <c r="CI131" s="35"/>
      <c r="CJ131" s="35"/>
      <c r="CK131" s="35">
        <f t="shared" si="100"/>
        <v>40220</v>
      </c>
      <c r="CL131" s="35">
        <f t="shared" si="105"/>
        <v>120660</v>
      </c>
      <c r="CM131" s="35">
        <v>40240</v>
      </c>
      <c r="CN131" s="35">
        <v>750</v>
      </c>
      <c r="CO131" s="35">
        <v>1207</v>
      </c>
      <c r="CP131" s="35"/>
      <c r="CQ131" s="35"/>
      <c r="CR131" s="35"/>
      <c r="CS131" s="35"/>
      <c r="CT131" s="35"/>
      <c r="CU131" s="35"/>
      <c r="CV131" s="35"/>
      <c r="CW131" s="35"/>
      <c r="CX131" s="35"/>
      <c r="CY131" s="35">
        <f t="shared" si="106"/>
        <v>42197</v>
      </c>
      <c r="CZ131" s="35">
        <f>11520+40240</f>
        <v>51760</v>
      </c>
      <c r="DA131" s="35">
        <v>750</v>
      </c>
      <c r="DB131" s="35">
        <f>348+1207</f>
        <v>1555</v>
      </c>
      <c r="DC131" s="35"/>
      <c r="DD131" s="35"/>
      <c r="DE131" s="35"/>
      <c r="DF131" s="35"/>
      <c r="DG131" s="35"/>
      <c r="DH131" s="35"/>
      <c r="DI131" s="35"/>
      <c r="DJ131" s="35"/>
      <c r="DK131" s="35"/>
      <c r="DL131" s="35">
        <f t="shared" si="101"/>
        <v>54065</v>
      </c>
      <c r="DM131" s="35">
        <v>40240</v>
      </c>
      <c r="DN131" s="35">
        <v>750</v>
      </c>
      <c r="DO131" s="35">
        <v>1207</v>
      </c>
      <c r="DP131" s="35"/>
      <c r="DQ131" s="35"/>
      <c r="DR131" s="35"/>
      <c r="DS131" s="35"/>
      <c r="DT131" s="35"/>
      <c r="DU131" s="35"/>
      <c r="DV131" s="35"/>
      <c r="DW131" s="35"/>
      <c r="DX131" s="35"/>
      <c r="DY131" s="35">
        <f t="shared" si="107"/>
        <v>42197</v>
      </c>
      <c r="DZ131" s="35">
        <f t="shared" si="108"/>
        <v>138459</v>
      </c>
      <c r="EA131" s="35">
        <v>40240</v>
      </c>
      <c r="EB131" s="35">
        <v>750</v>
      </c>
      <c r="EC131" s="35">
        <v>1207</v>
      </c>
      <c r="ED131" s="35"/>
      <c r="EE131" s="35"/>
      <c r="EF131" s="35"/>
      <c r="EG131" s="35"/>
      <c r="EH131" s="35"/>
      <c r="EI131" s="35"/>
      <c r="EJ131" s="35"/>
      <c r="EK131" s="35"/>
      <c r="EL131" s="35"/>
      <c r="EM131" s="35">
        <f t="shared" si="109"/>
        <v>42197</v>
      </c>
      <c r="EN131" s="35">
        <v>40240</v>
      </c>
      <c r="EO131" s="35">
        <v>750</v>
      </c>
      <c r="EP131" s="35">
        <v>1207</v>
      </c>
      <c r="EQ131" s="35"/>
      <c r="ER131" s="35"/>
      <c r="ES131" s="35"/>
      <c r="ET131" s="35"/>
      <c r="EU131" s="35"/>
      <c r="EV131" s="35"/>
      <c r="EW131" s="35"/>
      <c r="EX131" s="35"/>
      <c r="EY131" s="35"/>
      <c r="EZ131" s="35">
        <f t="shared" si="102"/>
        <v>42197</v>
      </c>
      <c r="FA131" s="35">
        <v>40240</v>
      </c>
      <c r="FB131" s="35">
        <v>750</v>
      </c>
      <c r="FC131" s="35">
        <v>1207</v>
      </c>
      <c r="FD131" s="35"/>
      <c r="FE131" s="35"/>
      <c r="FF131" s="35"/>
      <c r="FG131" s="35"/>
      <c r="FH131" s="35"/>
      <c r="FI131" s="35"/>
      <c r="FJ131" s="35"/>
      <c r="FK131" s="35"/>
      <c r="FL131" s="35"/>
      <c r="FM131" s="35">
        <f t="shared" si="110"/>
        <v>42197</v>
      </c>
      <c r="FN131" s="35">
        <f t="shared" si="111"/>
        <v>126591</v>
      </c>
      <c r="FO131" s="35">
        <f t="shared" si="112"/>
        <v>506370</v>
      </c>
    </row>
    <row r="132" spans="1:171" x14ac:dyDescent="0.35">
      <c r="A132" s="34"/>
      <c r="B132" s="40"/>
      <c r="C132" s="58"/>
      <c r="D132" s="79" t="s">
        <v>363</v>
      </c>
      <c r="E132" s="58" t="s">
        <v>8</v>
      </c>
      <c r="F132" s="58" t="s">
        <v>17</v>
      </c>
      <c r="G132" s="58"/>
      <c r="H132" s="58"/>
      <c r="I132" s="58"/>
      <c r="J132" s="58"/>
      <c r="K132" s="35">
        <v>33200</v>
      </c>
      <c r="L132" s="35">
        <v>750</v>
      </c>
      <c r="M132" s="35">
        <v>996</v>
      </c>
      <c r="N132" s="35"/>
      <c r="O132" s="35"/>
      <c r="P132" s="35"/>
      <c r="Q132" s="35"/>
      <c r="R132" s="35"/>
      <c r="S132" s="35"/>
      <c r="T132" s="35"/>
      <c r="U132" s="35"/>
      <c r="V132" s="35"/>
      <c r="W132" s="35">
        <f t="shared" si="161"/>
        <v>34946</v>
      </c>
      <c r="X132" s="35">
        <v>33200</v>
      </c>
      <c r="Y132" s="35">
        <v>750</v>
      </c>
      <c r="Z132" s="35">
        <v>996</v>
      </c>
      <c r="AA132" s="35"/>
      <c r="AB132" s="35"/>
      <c r="AC132" s="35"/>
      <c r="AD132" s="35"/>
      <c r="AE132" s="35"/>
      <c r="AF132" s="35"/>
      <c r="AG132" s="35"/>
      <c r="AH132" s="35"/>
      <c r="AI132" s="35"/>
      <c r="AJ132" s="35">
        <f t="shared" si="159"/>
        <v>34946</v>
      </c>
      <c r="AK132" s="35">
        <v>33200</v>
      </c>
      <c r="AL132" s="35">
        <v>750</v>
      </c>
      <c r="AM132" s="35">
        <v>996</v>
      </c>
      <c r="AN132" s="35"/>
      <c r="AO132" s="35"/>
      <c r="AP132" s="35"/>
      <c r="AQ132" s="35"/>
      <c r="AR132" s="35"/>
      <c r="AS132" s="35"/>
      <c r="AT132" s="35"/>
      <c r="AU132" s="35"/>
      <c r="AV132" s="35"/>
      <c r="AW132" s="35">
        <f t="shared" si="160"/>
        <v>34946</v>
      </c>
      <c r="AX132" s="35">
        <f t="shared" si="96"/>
        <v>104838</v>
      </c>
      <c r="AY132" s="35">
        <v>33200</v>
      </c>
      <c r="AZ132" s="35">
        <v>750</v>
      </c>
      <c r="BA132" s="35">
        <v>996</v>
      </c>
      <c r="BB132" s="35"/>
      <c r="BC132" s="35"/>
      <c r="BD132" s="35"/>
      <c r="BE132" s="35"/>
      <c r="BF132" s="35"/>
      <c r="BG132" s="35"/>
      <c r="BH132" s="35"/>
      <c r="BI132" s="35"/>
      <c r="BJ132" s="35"/>
      <c r="BK132" s="35">
        <f t="shared" si="162"/>
        <v>34946</v>
      </c>
      <c r="BL132" s="35">
        <v>33200</v>
      </c>
      <c r="BM132" s="35">
        <v>750</v>
      </c>
      <c r="BN132" s="35">
        <v>996</v>
      </c>
      <c r="BO132" s="35"/>
      <c r="BP132" s="35"/>
      <c r="BQ132" s="35"/>
      <c r="BR132" s="35"/>
      <c r="BS132" s="35"/>
      <c r="BT132" s="35"/>
      <c r="BU132" s="35"/>
      <c r="BV132" s="35"/>
      <c r="BW132" s="35"/>
      <c r="BX132" s="35">
        <f t="shared" si="99"/>
        <v>34946</v>
      </c>
      <c r="BY132" s="35">
        <v>33200</v>
      </c>
      <c r="BZ132" s="35">
        <v>750</v>
      </c>
      <c r="CA132" s="35">
        <v>996</v>
      </c>
      <c r="CB132" s="35"/>
      <c r="CC132" s="35"/>
      <c r="CD132" s="35"/>
      <c r="CE132" s="35"/>
      <c r="CF132" s="35"/>
      <c r="CG132" s="35"/>
      <c r="CH132" s="35"/>
      <c r="CI132" s="35"/>
      <c r="CJ132" s="35"/>
      <c r="CK132" s="35">
        <f t="shared" si="100"/>
        <v>34946</v>
      </c>
      <c r="CL132" s="35">
        <f t="shared" si="105"/>
        <v>104838</v>
      </c>
      <c r="CM132" s="35">
        <v>34860</v>
      </c>
      <c r="CN132" s="35">
        <v>750</v>
      </c>
      <c r="CO132" s="35">
        <v>1046</v>
      </c>
      <c r="CP132" s="35"/>
      <c r="CQ132" s="35"/>
      <c r="CR132" s="35"/>
      <c r="CS132" s="35"/>
      <c r="CT132" s="35"/>
      <c r="CU132" s="35"/>
      <c r="CV132" s="35"/>
      <c r="CW132" s="35"/>
      <c r="CX132" s="35"/>
      <c r="CY132" s="35">
        <f t="shared" si="106"/>
        <v>36656</v>
      </c>
      <c r="CZ132" s="35">
        <f>9960+34860</f>
        <v>44820</v>
      </c>
      <c r="DA132" s="35">
        <v>750</v>
      </c>
      <c r="DB132" s="35">
        <f>300+1046</f>
        <v>1346</v>
      </c>
      <c r="DC132" s="35"/>
      <c r="DD132" s="35"/>
      <c r="DE132" s="35"/>
      <c r="DF132" s="35"/>
      <c r="DG132" s="35"/>
      <c r="DH132" s="35"/>
      <c r="DI132" s="35"/>
      <c r="DJ132" s="35"/>
      <c r="DK132" s="35"/>
      <c r="DL132" s="35">
        <f t="shared" si="101"/>
        <v>46916</v>
      </c>
      <c r="DM132" s="35">
        <v>34860</v>
      </c>
      <c r="DN132" s="35">
        <v>750</v>
      </c>
      <c r="DO132" s="35">
        <v>1046</v>
      </c>
      <c r="DP132" s="35"/>
      <c r="DQ132" s="35"/>
      <c r="DR132" s="35"/>
      <c r="DS132" s="35"/>
      <c r="DT132" s="35"/>
      <c r="DU132" s="35"/>
      <c r="DV132" s="35"/>
      <c r="DW132" s="35"/>
      <c r="DX132" s="35"/>
      <c r="DY132" s="35">
        <f t="shared" si="107"/>
        <v>36656</v>
      </c>
      <c r="DZ132" s="35">
        <f t="shared" si="108"/>
        <v>120228</v>
      </c>
      <c r="EA132" s="35">
        <v>34860</v>
      </c>
      <c r="EB132" s="35">
        <v>750</v>
      </c>
      <c r="EC132" s="35">
        <v>1046</v>
      </c>
      <c r="ED132" s="35"/>
      <c r="EE132" s="35"/>
      <c r="EF132" s="35"/>
      <c r="EG132" s="35"/>
      <c r="EH132" s="35"/>
      <c r="EI132" s="35"/>
      <c r="EJ132" s="35"/>
      <c r="EK132" s="35"/>
      <c r="EL132" s="35"/>
      <c r="EM132" s="35">
        <f t="shared" si="109"/>
        <v>36656</v>
      </c>
      <c r="EN132" s="35">
        <v>34860</v>
      </c>
      <c r="EO132" s="35">
        <v>750</v>
      </c>
      <c r="EP132" s="35">
        <v>1046</v>
      </c>
      <c r="EQ132" s="35"/>
      <c r="ER132" s="35"/>
      <c r="ES132" s="35"/>
      <c r="ET132" s="35"/>
      <c r="EU132" s="35"/>
      <c r="EV132" s="35"/>
      <c r="EW132" s="35"/>
      <c r="EX132" s="35"/>
      <c r="EY132" s="35"/>
      <c r="EZ132" s="35">
        <f t="shared" si="102"/>
        <v>36656</v>
      </c>
      <c r="FA132" s="35">
        <v>34860</v>
      </c>
      <c r="FB132" s="35">
        <v>750</v>
      </c>
      <c r="FC132" s="35">
        <v>1046</v>
      </c>
      <c r="FD132" s="35"/>
      <c r="FE132" s="35"/>
      <c r="FF132" s="35"/>
      <c r="FG132" s="35"/>
      <c r="FH132" s="35"/>
      <c r="FI132" s="35"/>
      <c r="FJ132" s="35"/>
      <c r="FK132" s="35"/>
      <c r="FL132" s="35"/>
      <c r="FM132" s="35">
        <f t="shared" si="110"/>
        <v>36656</v>
      </c>
      <c r="FN132" s="35">
        <f t="shared" si="111"/>
        <v>109968</v>
      </c>
      <c r="FO132" s="35">
        <f t="shared" si="112"/>
        <v>439872</v>
      </c>
    </row>
    <row r="133" spans="1:171" x14ac:dyDescent="0.35">
      <c r="A133" s="34"/>
      <c r="B133" s="40"/>
      <c r="C133" s="58"/>
      <c r="D133" s="79" t="s">
        <v>208</v>
      </c>
      <c r="E133" s="58" t="s">
        <v>8</v>
      </c>
      <c r="F133" s="58" t="s">
        <v>17</v>
      </c>
      <c r="G133" s="58"/>
      <c r="H133" s="58"/>
      <c r="I133" s="58"/>
      <c r="J133" s="58"/>
      <c r="K133" s="35">
        <v>33200</v>
      </c>
      <c r="L133" s="35">
        <v>750</v>
      </c>
      <c r="M133" s="35">
        <v>996</v>
      </c>
      <c r="N133" s="35"/>
      <c r="O133" s="35"/>
      <c r="P133" s="35"/>
      <c r="Q133" s="35"/>
      <c r="R133" s="35"/>
      <c r="S133" s="35"/>
      <c r="T133" s="35"/>
      <c r="U133" s="35"/>
      <c r="V133" s="35"/>
      <c r="W133" s="35">
        <f t="shared" si="161"/>
        <v>34946</v>
      </c>
      <c r="X133" s="35">
        <v>33200</v>
      </c>
      <c r="Y133" s="35">
        <v>750</v>
      </c>
      <c r="Z133" s="35">
        <v>996</v>
      </c>
      <c r="AA133" s="35"/>
      <c r="AB133" s="35"/>
      <c r="AC133" s="35"/>
      <c r="AD133" s="35"/>
      <c r="AE133" s="35"/>
      <c r="AF133" s="35"/>
      <c r="AG133" s="35"/>
      <c r="AH133" s="35"/>
      <c r="AI133" s="35"/>
      <c r="AJ133" s="35">
        <f t="shared" si="159"/>
        <v>34946</v>
      </c>
      <c r="AK133" s="35">
        <v>33200</v>
      </c>
      <c r="AL133" s="35">
        <v>750</v>
      </c>
      <c r="AM133" s="35">
        <v>996</v>
      </c>
      <c r="AN133" s="35"/>
      <c r="AO133" s="35"/>
      <c r="AP133" s="35"/>
      <c r="AQ133" s="35"/>
      <c r="AR133" s="35"/>
      <c r="AS133" s="35"/>
      <c r="AT133" s="35"/>
      <c r="AU133" s="35"/>
      <c r="AV133" s="35"/>
      <c r="AW133" s="35">
        <f t="shared" si="160"/>
        <v>34946</v>
      </c>
      <c r="AX133" s="35">
        <f t="shared" si="96"/>
        <v>104838</v>
      </c>
      <c r="AY133" s="35">
        <v>33200</v>
      </c>
      <c r="AZ133" s="35">
        <v>750</v>
      </c>
      <c r="BA133" s="35">
        <v>996</v>
      </c>
      <c r="BB133" s="35"/>
      <c r="BC133" s="35"/>
      <c r="BD133" s="35"/>
      <c r="BE133" s="35"/>
      <c r="BF133" s="35"/>
      <c r="BG133" s="35"/>
      <c r="BH133" s="35"/>
      <c r="BI133" s="35"/>
      <c r="BJ133" s="35"/>
      <c r="BK133" s="35">
        <f t="shared" si="162"/>
        <v>34946</v>
      </c>
      <c r="BL133" s="35">
        <v>33200</v>
      </c>
      <c r="BM133" s="35">
        <v>750</v>
      </c>
      <c r="BN133" s="35">
        <v>996</v>
      </c>
      <c r="BO133" s="35"/>
      <c r="BP133" s="35"/>
      <c r="BQ133" s="35"/>
      <c r="BR133" s="35"/>
      <c r="BS133" s="35"/>
      <c r="BT133" s="35"/>
      <c r="BU133" s="35"/>
      <c r="BV133" s="35"/>
      <c r="BW133" s="35"/>
      <c r="BX133" s="35">
        <f t="shared" si="99"/>
        <v>34946</v>
      </c>
      <c r="BY133" s="35">
        <v>33200</v>
      </c>
      <c r="BZ133" s="35">
        <v>750</v>
      </c>
      <c r="CA133" s="35">
        <v>996</v>
      </c>
      <c r="CB133" s="35"/>
      <c r="CC133" s="35"/>
      <c r="CD133" s="35"/>
      <c r="CE133" s="35"/>
      <c r="CF133" s="35"/>
      <c r="CG133" s="35"/>
      <c r="CH133" s="35"/>
      <c r="CI133" s="35"/>
      <c r="CJ133" s="35"/>
      <c r="CK133" s="35">
        <f t="shared" si="100"/>
        <v>34946</v>
      </c>
      <c r="CL133" s="35">
        <f t="shared" si="105"/>
        <v>104838</v>
      </c>
      <c r="CM133" s="35">
        <v>34860</v>
      </c>
      <c r="CN133" s="35">
        <v>750</v>
      </c>
      <c r="CO133" s="35">
        <v>1046</v>
      </c>
      <c r="CP133" s="35"/>
      <c r="CQ133" s="35"/>
      <c r="CR133" s="35"/>
      <c r="CS133" s="35"/>
      <c r="CT133" s="35"/>
      <c r="CU133" s="35"/>
      <c r="CV133" s="35"/>
      <c r="CW133" s="35"/>
      <c r="CX133" s="35"/>
      <c r="CY133" s="35">
        <f t="shared" si="106"/>
        <v>36656</v>
      </c>
      <c r="CZ133" s="35">
        <f>9960+34860</f>
        <v>44820</v>
      </c>
      <c r="DA133" s="35">
        <v>750</v>
      </c>
      <c r="DB133" s="35">
        <f>300+1046</f>
        <v>1346</v>
      </c>
      <c r="DC133" s="35"/>
      <c r="DD133" s="35"/>
      <c r="DE133" s="35"/>
      <c r="DF133" s="35"/>
      <c r="DG133" s="35"/>
      <c r="DH133" s="35"/>
      <c r="DI133" s="35"/>
      <c r="DJ133" s="35"/>
      <c r="DK133" s="35"/>
      <c r="DL133" s="35">
        <f t="shared" si="101"/>
        <v>46916</v>
      </c>
      <c r="DM133" s="35">
        <v>34860</v>
      </c>
      <c r="DN133" s="35">
        <v>750</v>
      </c>
      <c r="DO133" s="35">
        <v>1046</v>
      </c>
      <c r="DP133" s="35"/>
      <c r="DQ133" s="35"/>
      <c r="DR133" s="35"/>
      <c r="DS133" s="35"/>
      <c r="DT133" s="35"/>
      <c r="DU133" s="35"/>
      <c r="DV133" s="35"/>
      <c r="DW133" s="35"/>
      <c r="DX133" s="35"/>
      <c r="DY133" s="35">
        <f t="shared" si="107"/>
        <v>36656</v>
      </c>
      <c r="DZ133" s="35">
        <f t="shared" si="108"/>
        <v>120228</v>
      </c>
      <c r="EA133" s="35">
        <v>34860</v>
      </c>
      <c r="EB133" s="35">
        <v>750</v>
      </c>
      <c r="EC133" s="35">
        <v>1046</v>
      </c>
      <c r="ED133" s="35"/>
      <c r="EE133" s="35"/>
      <c r="EF133" s="35"/>
      <c r="EG133" s="35"/>
      <c r="EH133" s="35"/>
      <c r="EI133" s="35"/>
      <c r="EJ133" s="35"/>
      <c r="EK133" s="35"/>
      <c r="EL133" s="35"/>
      <c r="EM133" s="35">
        <f t="shared" si="109"/>
        <v>36656</v>
      </c>
      <c r="EN133" s="35">
        <v>34860</v>
      </c>
      <c r="EO133" s="35">
        <v>750</v>
      </c>
      <c r="EP133" s="35">
        <v>1046</v>
      </c>
      <c r="EQ133" s="35"/>
      <c r="ER133" s="35"/>
      <c r="ES133" s="35"/>
      <c r="ET133" s="35"/>
      <c r="EU133" s="35"/>
      <c r="EV133" s="35"/>
      <c r="EW133" s="35"/>
      <c r="EX133" s="35"/>
      <c r="EY133" s="35"/>
      <c r="EZ133" s="35">
        <f t="shared" si="102"/>
        <v>36656</v>
      </c>
      <c r="FA133" s="35">
        <v>34860</v>
      </c>
      <c r="FB133" s="35">
        <v>750</v>
      </c>
      <c r="FC133" s="35">
        <v>1046</v>
      </c>
      <c r="FD133" s="35"/>
      <c r="FE133" s="35"/>
      <c r="FF133" s="35"/>
      <c r="FG133" s="35"/>
      <c r="FH133" s="35"/>
      <c r="FI133" s="35"/>
      <c r="FJ133" s="35"/>
      <c r="FK133" s="35"/>
      <c r="FL133" s="35"/>
      <c r="FM133" s="35">
        <f t="shared" si="110"/>
        <v>36656</v>
      </c>
      <c r="FN133" s="35">
        <f t="shared" si="111"/>
        <v>109968</v>
      </c>
      <c r="FO133" s="35">
        <f t="shared" si="112"/>
        <v>439872</v>
      </c>
    </row>
    <row r="134" spans="1:171" x14ac:dyDescent="0.35">
      <c r="A134" s="34"/>
      <c r="B134" s="40"/>
      <c r="C134" s="58"/>
      <c r="D134" s="79" t="s">
        <v>209</v>
      </c>
      <c r="E134" s="58" t="s">
        <v>8</v>
      </c>
      <c r="F134" s="58" t="s">
        <v>17</v>
      </c>
      <c r="G134" s="58"/>
      <c r="H134" s="58"/>
      <c r="I134" s="58"/>
      <c r="J134" s="58"/>
      <c r="K134" s="35">
        <v>32910</v>
      </c>
      <c r="L134" s="35">
        <v>750</v>
      </c>
      <c r="M134" s="35">
        <v>987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>
        <f t="shared" si="161"/>
        <v>34647</v>
      </c>
      <c r="X134" s="35">
        <v>32910</v>
      </c>
      <c r="Y134" s="35">
        <v>750</v>
      </c>
      <c r="Z134" s="35">
        <v>987</v>
      </c>
      <c r="AA134" s="35"/>
      <c r="AB134" s="35"/>
      <c r="AC134" s="35"/>
      <c r="AD134" s="35"/>
      <c r="AE134" s="35"/>
      <c r="AF134" s="35"/>
      <c r="AG134" s="35"/>
      <c r="AH134" s="35"/>
      <c r="AI134" s="35"/>
      <c r="AJ134" s="35">
        <f t="shared" si="159"/>
        <v>34647</v>
      </c>
      <c r="AK134" s="35">
        <v>32910</v>
      </c>
      <c r="AL134" s="35">
        <v>750</v>
      </c>
      <c r="AM134" s="35">
        <v>987</v>
      </c>
      <c r="AN134" s="35"/>
      <c r="AO134" s="35"/>
      <c r="AP134" s="35"/>
      <c r="AQ134" s="35"/>
      <c r="AR134" s="35"/>
      <c r="AS134" s="35"/>
      <c r="AT134" s="35"/>
      <c r="AU134" s="35"/>
      <c r="AV134" s="35"/>
      <c r="AW134" s="35">
        <f t="shared" si="160"/>
        <v>34647</v>
      </c>
      <c r="AX134" s="35">
        <f t="shared" si="96"/>
        <v>103941</v>
      </c>
      <c r="AY134" s="35">
        <v>32910</v>
      </c>
      <c r="AZ134" s="35">
        <v>750</v>
      </c>
      <c r="BA134" s="35">
        <v>987</v>
      </c>
      <c r="BB134" s="35"/>
      <c r="BC134" s="35"/>
      <c r="BD134" s="35"/>
      <c r="BE134" s="35"/>
      <c r="BF134" s="35"/>
      <c r="BG134" s="35"/>
      <c r="BH134" s="35"/>
      <c r="BI134" s="35"/>
      <c r="BJ134" s="35"/>
      <c r="BK134" s="35">
        <f t="shared" si="162"/>
        <v>34647</v>
      </c>
      <c r="BL134" s="35">
        <v>32910</v>
      </c>
      <c r="BM134" s="35">
        <v>750</v>
      </c>
      <c r="BN134" s="35">
        <v>987</v>
      </c>
      <c r="BO134" s="35"/>
      <c r="BP134" s="35"/>
      <c r="BQ134" s="35"/>
      <c r="BR134" s="35"/>
      <c r="BS134" s="35"/>
      <c r="BT134" s="35"/>
      <c r="BU134" s="35"/>
      <c r="BV134" s="35"/>
      <c r="BW134" s="35"/>
      <c r="BX134" s="35">
        <f t="shared" si="99"/>
        <v>34647</v>
      </c>
      <c r="BY134" s="35">
        <v>32910</v>
      </c>
      <c r="BZ134" s="35">
        <v>750</v>
      </c>
      <c r="CA134" s="35">
        <v>987</v>
      </c>
      <c r="CB134" s="35"/>
      <c r="CC134" s="35"/>
      <c r="CD134" s="35"/>
      <c r="CE134" s="35"/>
      <c r="CF134" s="35"/>
      <c r="CG134" s="35"/>
      <c r="CH134" s="35"/>
      <c r="CI134" s="35"/>
      <c r="CJ134" s="35"/>
      <c r="CK134" s="35">
        <f t="shared" si="100"/>
        <v>34647</v>
      </c>
      <c r="CL134" s="35">
        <f t="shared" si="105"/>
        <v>103941</v>
      </c>
      <c r="CM134" s="35">
        <v>0</v>
      </c>
      <c r="CN134" s="35">
        <v>0</v>
      </c>
      <c r="CO134" s="35">
        <v>0</v>
      </c>
      <c r="CP134" s="35"/>
      <c r="CQ134" s="35"/>
      <c r="CR134" s="35"/>
      <c r="CS134" s="35"/>
      <c r="CT134" s="35"/>
      <c r="CU134" s="35"/>
      <c r="CV134" s="35"/>
      <c r="CW134" s="35"/>
      <c r="CX134" s="35"/>
      <c r="CY134" s="35">
        <f t="shared" si="106"/>
        <v>0</v>
      </c>
      <c r="CZ134" s="35">
        <v>0</v>
      </c>
      <c r="DA134" s="35">
        <v>0</v>
      </c>
      <c r="DB134" s="35">
        <v>0</v>
      </c>
      <c r="DC134" s="35"/>
      <c r="DD134" s="35"/>
      <c r="DE134" s="35"/>
      <c r="DF134" s="35"/>
      <c r="DG134" s="35"/>
      <c r="DH134" s="35"/>
      <c r="DI134" s="35"/>
      <c r="DJ134" s="35"/>
      <c r="DK134" s="35"/>
      <c r="DL134" s="35">
        <f t="shared" si="101"/>
        <v>0</v>
      </c>
      <c r="DM134" s="35">
        <v>0</v>
      </c>
      <c r="DN134" s="35">
        <v>0</v>
      </c>
      <c r="DO134" s="35">
        <v>0</v>
      </c>
      <c r="DP134" s="35"/>
      <c r="DQ134" s="35"/>
      <c r="DR134" s="35"/>
      <c r="DS134" s="35"/>
      <c r="DT134" s="35"/>
      <c r="DU134" s="35"/>
      <c r="DV134" s="35"/>
      <c r="DW134" s="35"/>
      <c r="DX134" s="35"/>
      <c r="DY134" s="35">
        <f t="shared" si="107"/>
        <v>0</v>
      </c>
      <c r="DZ134" s="35">
        <f t="shared" si="108"/>
        <v>0</v>
      </c>
      <c r="EA134" s="35">
        <v>0</v>
      </c>
      <c r="EB134" s="35">
        <v>0</v>
      </c>
      <c r="EC134" s="35">
        <v>0</v>
      </c>
      <c r="ED134" s="35"/>
      <c r="EE134" s="35"/>
      <c r="EF134" s="35"/>
      <c r="EG134" s="35"/>
      <c r="EH134" s="35"/>
      <c r="EI134" s="35"/>
      <c r="EJ134" s="35"/>
      <c r="EK134" s="35"/>
      <c r="EL134" s="35"/>
      <c r="EM134" s="35">
        <f t="shared" si="109"/>
        <v>0</v>
      </c>
      <c r="EN134" s="35">
        <v>0</v>
      </c>
      <c r="EO134" s="35">
        <v>0</v>
      </c>
      <c r="EP134" s="35">
        <v>0</v>
      </c>
      <c r="EQ134" s="35"/>
      <c r="ER134" s="35"/>
      <c r="ES134" s="35"/>
      <c r="ET134" s="35"/>
      <c r="EU134" s="35"/>
      <c r="EV134" s="35"/>
      <c r="EW134" s="35"/>
      <c r="EX134" s="35"/>
      <c r="EY134" s="35"/>
      <c r="EZ134" s="35">
        <f t="shared" si="102"/>
        <v>0</v>
      </c>
      <c r="FA134" s="35">
        <v>0</v>
      </c>
      <c r="FB134" s="35">
        <v>0</v>
      </c>
      <c r="FC134" s="35">
        <v>0</v>
      </c>
      <c r="FD134" s="35"/>
      <c r="FE134" s="35"/>
      <c r="FF134" s="35"/>
      <c r="FG134" s="35"/>
      <c r="FH134" s="35"/>
      <c r="FI134" s="35"/>
      <c r="FJ134" s="35"/>
      <c r="FK134" s="35"/>
      <c r="FL134" s="35"/>
      <c r="FM134" s="35">
        <f t="shared" si="110"/>
        <v>0</v>
      </c>
      <c r="FN134" s="35">
        <f t="shared" si="111"/>
        <v>0</v>
      </c>
      <c r="FO134" s="35">
        <f t="shared" si="112"/>
        <v>207882</v>
      </c>
    </row>
    <row r="135" spans="1:171" x14ac:dyDescent="0.35">
      <c r="A135" s="34"/>
      <c r="B135" s="40"/>
      <c r="C135" s="58"/>
      <c r="D135" s="79" t="s">
        <v>210</v>
      </c>
      <c r="E135" s="58" t="s">
        <v>8</v>
      </c>
      <c r="F135" s="58" t="s">
        <v>18</v>
      </c>
      <c r="G135" s="58"/>
      <c r="H135" s="58"/>
      <c r="I135" s="58"/>
      <c r="J135" s="58"/>
      <c r="K135" s="35"/>
      <c r="L135" s="35"/>
      <c r="M135" s="35"/>
      <c r="N135" s="35"/>
      <c r="O135" s="35"/>
      <c r="P135" s="35"/>
      <c r="Q135" s="35">
        <v>33190</v>
      </c>
      <c r="R135" s="35">
        <v>750</v>
      </c>
      <c r="S135" s="35">
        <v>996</v>
      </c>
      <c r="T135" s="35"/>
      <c r="U135" s="35"/>
      <c r="V135" s="35"/>
      <c r="W135" s="35">
        <f t="shared" si="161"/>
        <v>34936</v>
      </c>
      <c r="X135" s="35"/>
      <c r="Y135" s="35"/>
      <c r="Z135" s="35"/>
      <c r="AA135" s="35"/>
      <c r="AB135" s="35"/>
      <c r="AC135" s="35"/>
      <c r="AD135" s="35">
        <v>33190</v>
      </c>
      <c r="AE135" s="35">
        <v>750</v>
      </c>
      <c r="AF135" s="35">
        <v>996</v>
      </c>
      <c r="AG135" s="35"/>
      <c r="AH135" s="35"/>
      <c r="AI135" s="35"/>
      <c r="AJ135" s="35">
        <f t="shared" si="159"/>
        <v>34936</v>
      </c>
      <c r="AK135" s="35"/>
      <c r="AL135" s="35"/>
      <c r="AM135" s="35"/>
      <c r="AN135" s="35"/>
      <c r="AO135" s="35"/>
      <c r="AP135" s="35"/>
      <c r="AQ135" s="35">
        <v>33190</v>
      </c>
      <c r="AR135" s="35">
        <v>750</v>
      </c>
      <c r="AS135" s="35">
        <v>996</v>
      </c>
      <c r="AT135" s="35"/>
      <c r="AU135" s="35"/>
      <c r="AV135" s="35"/>
      <c r="AW135" s="35">
        <f t="shared" si="160"/>
        <v>34936</v>
      </c>
      <c r="AX135" s="35">
        <f t="shared" si="96"/>
        <v>104808</v>
      </c>
      <c r="AY135" s="35"/>
      <c r="AZ135" s="35"/>
      <c r="BA135" s="35"/>
      <c r="BB135" s="35"/>
      <c r="BC135" s="35"/>
      <c r="BD135" s="35"/>
      <c r="BE135" s="35">
        <v>33190</v>
      </c>
      <c r="BF135" s="35">
        <v>750</v>
      </c>
      <c r="BG135" s="35">
        <v>996</v>
      </c>
      <c r="BH135" s="35"/>
      <c r="BI135" s="35"/>
      <c r="BJ135" s="35"/>
      <c r="BK135" s="35">
        <f t="shared" si="162"/>
        <v>34936</v>
      </c>
      <c r="BL135" s="35"/>
      <c r="BM135" s="35"/>
      <c r="BN135" s="35"/>
      <c r="BO135" s="35"/>
      <c r="BP135" s="35"/>
      <c r="BQ135" s="35"/>
      <c r="BR135" s="35">
        <v>33190</v>
      </c>
      <c r="BS135" s="35">
        <v>750</v>
      </c>
      <c r="BT135" s="35">
        <v>996</v>
      </c>
      <c r="BU135" s="35"/>
      <c r="BV135" s="35"/>
      <c r="BW135" s="35"/>
      <c r="BX135" s="35">
        <f t="shared" si="99"/>
        <v>34936</v>
      </c>
      <c r="BY135" s="35"/>
      <c r="BZ135" s="35"/>
      <c r="CA135" s="35"/>
      <c r="CB135" s="35"/>
      <c r="CC135" s="35"/>
      <c r="CD135" s="35"/>
      <c r="CE135" s="35">
        <v>33190</v>
      </c>
      <c r="CF135" s="35">
        <v>750</v>
      </c>
      <c r="CG135" s="35">
        <v>996</v>
      </c>
      <c r="CH135" s="35"/>
      <c r="CI135" s="35"/>
      <c r="CJ135" s="35"/>
      <c r="CK135" s="35">
        <f t="shared" si="100"/>
        <v>34936</v>
      </c>
      <c r="CL135" s="35">
        <f t="shared" si="105"/>
        <v>104808</v>
      </c>
      <c r="CM135" s="35"/>
      <c r="CN135" s="35"/>
      <c r="CO135" s="35"/>
      <c r="CP135" s="35"/>
      <c r="CQ135" s="35"/>
      <c r="CR135" s="35"/>
      <c r="CS135" s="35">
        <v>34850</v>
      </c>
      <c r="CT135" s="35">
        <v>750</v>
      </c>
      <c r="CU135" s="35">
        <v>1046</v>
      </c>
      <c r="CV135" s="35"/>
      <c r="CW135" s="35"/>
      <c r="CX135" s="35"/>
      <c r="CY135" s="35">
        <f t="shared" si="106"/>
        <v>36646</v>
      </c>
      <c r="CZ135" s="35"/>
      <c r="DA135" s="35"/>
      <c r="DB135" s="35"/>
      <c r="DC135" s="35"/>
      <c r="DD135" s="35"/>
      <c r="DE135" s="35"/>
      <c r="DF135" s="35">
        <f>9960+34850</f>
        <v>44810</v>
      </c>
      <c r="DG135" s="35">
        <v>750</v>
      </c>
      <c r="DH135" s="35">
        <f>300+1046</f>
        <v>1346</v>
      </c>
      <c r="DI135" s="35"/>
      <c r="DJ135" s="35"/>
      <c r="DK135" s="35"/>
      <c r="DL135" s="35">
        <f t="shared" si="101"/>
        <v>46906</v>
      </c>
      <c r="DM135" s="35"/>
      <c r="DN135" s="35"/>
      <c r="DO135" s="35"/>
      <c r="DP135" s="35"/>
      <c r="DQ135" s="35"/>
      <c r="DR135" s="35"/>
      <c r="DS135" s="35">
        <v>34850</v>
      </c>
      <c r="DT135" s="35">
        <v>750</v>
      </c>
      <c r="DU135" s="35">
        <v>1046</v>
      </c>
      <c r="DV135" s="35"/>
      <c r="DW135" s="35"/>
      <c r="DX135" s="35"/>
      <c r="DY135" s="35">
        <f t="shared" si="107"/>
        <v>36646</v>
      </c>
      <c r="DZ135" s="35">
        <f t="shared" si="108"/>
        <v>120198</v>
      </c>
      <c r="EA135" s="35"/>
      <c r="EB135" s="35"/>
      <c r="EC135" s="35"/>
      <c r="ED135" s="35"/>
      <c r="EE135" s="35"/>
      <c r="EF135" s="35"/>
      <c r="EG135" s="35">
        <v>34850</v>
      </c>
      <c r="EH135" s="35">
        <v>750</v>
      </c>
      <c r="EI135" s="35">
        <v>1046</v>
      </c>
      <c r="EJ135" s="35"/>
      <c r="EK135" s="35"/>
      <c r="EL135" s="35"/>
      <c r="EM135" s="35">
        <f t="shared" si="109"/>
        <v>36646</v>
      </c>
      <c r="EN135" s="35"/>
      <c r="EO135" s="35"/>
      <c r="EP135" s="35"/>
      <c r="EQ135" s="35"/>
      <c r="ER135" s="35"/>
      <c r="ES135" s="35"/>
      <c r="ET135" s="35">
        <v>34850</v>
      </c>
      <c r="EU135" s="35">
        <v>750</v>
      </c>
      <c r="EV135" s="35">
        <v>1046</v>
      </c>
      <c r="EW135" s="35"/>
      <c r="EX135" s="35"/>
      <c r="EY135" s="35"/>
      <c r="EZ135" s="35">
        <f t="shared" si="102"/>
        <v>36646</v>
      </c>
      <c r="FA135" s="35"/>
      <c r="FB135" s="35"/>
      <c r="FC135" s="35"/>
      <c r="FD135" s="35"/>
      <c r="FE135" s="35"/>
      <c r="FF135" s="35"/>
      <c r="FG135" s="35">
        <v>34850</v>
      </c>
      <c r="FH135" s="35">
        <v>750</v>
      </c>
      <c r="FI135" s="35">
        <v>1046</v>
      </c>
      <c r="FJ135" s="35"/>
      <c r="FK135" s="35"/>
      <c r="FL135" s="35"/>
      <c r="FM135" s="35">
        <f t="shared" si="110"/>
        <v>36646</v>
      </c>
      <c r="FN135" s="35">
        <f t="shared" si="111"/>
        <v>109938</v>
      </c>
      <c r="FO135" s="35">
        <f t="shared" si="112"/>
        <v>439752</v>
      </c>
    </row>
    <row r="136" spans="1:171" x14ac:dyDescent="0.35">
      <c r="A136" s="34"/>
      <c r="B136" s="40"/>
      <c r="C136" s="58"/>
      <c r="D136" s="79" t="s">
        <v>211</v>
      </c>
      <c r="E136" s="58" t="s">
        <v>8</v>
      </c>
      <c r="F136" s="58" t="s">
        <v>18</v>
      </c>
      <c r="G136" s="58"/>
      <c r="H136" s="58"/>
      <c r="I136" s="58"/>
      <c r="J136" s="58"/>
      <c r="K136" s="35"/>
      <c r="L136" s="35"/>
      <c r="M136" s="35"/>
      <c r="N136" s="35"/>
      <c r="O136" s="35"/>
      <c r="P136" s="35"/>
      <c r="Q136" s="35">
        <v>33200</v>
      </c>
      <c r="R136" s="35">
        <v>750</v>
      </c>
      <c r="S136" s="35">
        <v>996</v>
      </c>
      <c r="T136" s="35"/>
      <c r="U136" s="35"/>
      <c r="V136" s="35"/>
      <c r="W136" s="35">
        <f t="shared" si="161"/>
        <v>34946</v>
      </c>
      <c r="X136" s="35"/>
      <c r="Y136" s="35"/>
      <c r="Z136" s="35"/>
      <c r="AA136" s="35"/>
      <c r="AB136" s="35"/>
      <c r="AC136" s="35"/>
      <c r="AD136" s="35">
        <v>33200</v>
      </c>
      <c r="AE136" s="35">
        <v>750</v>
      </c>
      <c r="AF136" s="35">
        <v>996</v>
      </c>
      <c r="AG136" s="35"/>
      <c r="AH136" s="35"/>
      <c r="AI136" s="35"/>
      <c r="AJ136" s="35">
        <f t="shared" si="159"/>
        <v>34946</v>
      </c>
      <c r="AK136" s="35"/>
      <c r="AL136" s="35"/>
      <c r="AM136" s="35"/>
      <c r="AN136" s="35"/>
      <c r="AO136" s="35"/>
      <c r="AP136" s="35"/>
      <c r="AQ136" s="35">
        <v>33200</v>
      </c>
      <c r="AR136" s="35">
        <v>750</v>
      </c>
      <c r="AS136" s="35">
        <v>996</v>
      </c>
      <c r="AT136" s="35"/>
      <c r="AU136" s="35"/>
      <c r="AV136" s="35"/>
      <c r="AW136" s="35">
        <f t="shared" si="160"/>
        <v>34946</v>
      </c>
      <c r="AX136" s="35">
        <f t="shared" si="96"/>
        <v>104838</v>
      </c>
      <c r="AY136" s="35"/>
      <c r="AZ136" s="35"/>
      <c r="BA136" s="35"/>
      <c r="BB136" s="35"/>
      <c r="BC136" s="35"/>
      <c r="BD136" s="35"/>
      <c r="BE136" s="35">
        <v>33200</v>
      </c>
      <c r="BF136" s="35">
        <v>750</v>
      </c>
      <c r="BG136" s="35">
        <v>996</v>
      </c>
      <c r="BH136" s="35"/>
      <c r="BI136" s="35"/>
      <c r="BJ136" s="35"/>
      <c r="BK136" s="35">
        <f t="shared" si="162"/>
        <v>34946</v>
      </c>
      <c r="BL136" s="35"/>
      <c r="BM136" s="35"/>
      <c r="BN136" s="35"/>
      <c r="BO136" s="35"/>
      <c r="BP136" s="35"/>
      <c r="BQ136" s="35"/>
      <c r="BR136" s="35">
        <v>33200</v>
      </c>
      <c r="BS136" s="35">
        <v>750</v>
      </c>
      <c r="BT136" s="35">
        <v>996</v>
      </c>
      <c r="BU136" s="35"/>
      <c r="BV136" s="35"/>
      <c r="BW136" s="35"/>
      <c r="BX136" s="35">
        <f t="shared" si="99"/>
        <v>34946</v>
      </c>
      <c r="BY136" s="35"/>
      <c r="BZ136" s="35"/>
      <c r="CA136" s="35"/>
      <c r="CB136" s="35"/>
      <c r="CC136" s="35"/>
      <c r="CD136" s="35"/>
      <c r="CE136" s="35">
        <v>33200</v>
      </c>
      <c r="CF136" s="35">
        <v>750</v>
      </c>
      <c r="CG136" s="35">
        <v>996</v>
      </c>
      <c r="CH136" s="35"/>
      <c r="CI136" s="35"/>
      <c r="CJ136" s="35"/>
      <c r="CK136" s="35">
        <f t="shared" si="100"/>
        <v>34946</v>
      </c>
      <c r="CL136" s="35">
        <f t="shared" si="105"/>
        <v>104838</v>
      </c>
      <c r="CM136" s="35"/>
      <c r="CN136" s="35"/>
      <c r="CO136" s="35"/>
      <c r="CP136" s="35"/>
      <c r="CQ136" s="35"/>
      <c r="CR136" s="35"/>
      <c r="CS136" s="35">
        <v>34860</v>
      </c>
      <c r="CT136" s="35">
        <v>750</v>
      </c>
      <c r="CU136" s="35">
        <v>1046</v>
      </c>
      <c r="CV136" s="35"/>
      <c r="CW136" s="35"/>
      <c r="CX136" s="35"/>
      <c r="CY136" s="35">
        <f t="shared" si="106"/>
        <v>36656</v>
      </c>
      <c r="CZ136" s="35"/>
      <c r="DA136" s="35"/>
      <c r="DB136" s="35"/>
      <c r="DC136" s="35"/>
      <c r="DD136" s="35"/>
      <c r="DE136" s="35"/>
      <c r="DF136" s="35">
        <f>9960+34860</f>
        <v>44820</v>
      </c>
      <c r="DG136" s="35">
        <v>750</v>
      </c>
      <c r="DH136" s="35">
        <f>300+1046</f>
        <v>1346</v>
      </c>
      <c r="DI136" s="35"/>
      <c r="DJ136" s="35"/>
      <c r="DK136" s="35"/>
      <c r="DL136" s="35">
        <f t="shared" si="101"/>
        <v>46916</v>
      </c>
      <c r="DM136" s="35"/>
      <c r="DN136" s="35"/>
      <c r="DO136" s="35"/>
      <c r="DP136" s="35"/>
      <c r="DQ136" s="35"/>
      <c r="DR136" s="35"/>
      <c r="DS136" s="35">
        <v>34860</v>
      </c>
      <c r="DT136" s="35">
        <v>750</v>
      </c>
      <c r="DU136" s="35">
        <v>1046</v>
      </c>
      <c r="DV136" s="35"/>
      <c r="DW136" s="35"/>
      <c r="DX136" s="35"/>
      <c r="DY136" s="35">
        <f t="shared" si="107"/>
        <v>36656</v>
      </c>
      <c r="DZ136" s="35">
        <f t="shared" si="108"/>
        <v>120228</v>
      </c>
      <c r="EA136" s="35"/>
      <c r="EB136" s="35"/>
      <c r="EC136" s="35"/>
      <c r="ED136" s="35"/>
      <c r="EE136" s="35"/>
      <c r="EF136" s="35"/>
      <c r="EG136" s="35">
        <v>34860</v>
      </c>
      <c r="EH136" s="35">
        <v>750</v>
      </c>
      <c r="EI136" s="35">
        <v>1046</v>
      </c>
      <c r="EJ136" s="35"/>
      <c r="EK136" s="35"/>
      <c r="EL136" s="35"/>
      <c r="EM136" s="35">
        <f t="shared" si="109"/>
        <v>36656</v>
      </c>
      <c r="EN136" s="35"/>
      <c r="EO136" s="35"/>
      <c r="EP136" s="35"/>
      <c r="EQ136" s="35"/>
      <c r="ER136" s="35"/>
      <c r="ES136" s="35"/>
      <c r="ET136" s="35">
        <v>34860</v>
      </c>
      <c r="EU136" s="35">
        <v>750</v>
      </c>
      <c r="EV136" s="35">
        <v>1046</v>
      </c>
      <c r="EW136" s="35"/>
      <c r="EX136" s="35"/>
      <c r="EY136" s="35"/>
      <c r="EZ136" s="35">
        <f t="shared" si="102"/>
        <v>36656</v>
      </c>
      <c r="FA136" s="35"/>
      <c r="FB136" s="35"/>
      <c r="FC136" s="35"/>
      <c r="FD136" s="35"/>
      <c r="FE136" s="35"/>
      <c r="FF136" s="35"/>
      <c r="FG136" s="35">
        <v>34860</v>
      </c>
      <c r="FH136" s="35">
        <v>750</v>
      </c>
      <c r="FI136" s="35">
        <v>1046</v>
      </c>
      <c r="FJ136" s="35"/>
      <c r="FK136" s="35"/>
      <c r="FL136" s="35"/>
      <c r="FM136" s="35">
        <f t="shared" si="110"/>
        <v>36656</v>
      </c>
      <c r="FN136" s="35">
        <f t="shared" si="111"/>
        <v>109968</v>
      </c>
      <c r="FO136" s="35">
        <f t="shared" si="112"/>
        <v>439872</v>
      </c>
    </row>
    <row r="137" spans="1:171" x14ac:dyDescent="0.35">
      <c r="A137" s="34"/>
      <c r="B137" s="40"/>
      <c r="C137" s="58"/>
      <c r="D137" s="79" t="s">
        <v>212</v>
      </c>
      <c r="E137" s="58" t="s">
        <v>8</v>
      </c>
      <c r="F137" s="58" t="s">
        <v>18</v>
      </c>
      <c r="G137" s="58"/>
      <c r="H137" s="58"/>
      <c r="I137" s="58"/>
      <c r="J137" s="58"/>
      <c r="K137" s="35"/>
      <c r="L137" s="35"/>
      <c r="M137" s="35"/>
      <c r="N137" s="35"/>
      <c r="O137" s="35"/>
      <c r="P137" s="35"/>
      <c r="Q137" s="35">
        <v>33190</v>
      </c>
      <c r="R137" s="35">
        <v>750</v>
      </c>
      <c r="S137" s="35">
        <v>996</v>
      </c>
      <c r="T137" s="35"/>
      <c r="U137" s="35"/>
      <c r="V137" s="35"/>
      <c r="W137" s="35">
        <f t="shared" si="161"/>
        <v>34936</v>
      </c>
      <c r="X137" s="35"/>
      <c r="Y137" s="35"/>
      <c r="Z137" s="35"/>
      <c r="AA137" s="35"/>
      <c r="AB137" s="35"/>
      <c r="AC137" s="35"/>
      <c r="AD137" s="35">
        <v>33190</v>
      </c>
      <c r="AE137" s="35">
        <v>750</v>
      </c>
      <c r="AF137" s="35">
        <v>996</v>
      </c>
      <c r="AG137" s="35"/>
      <c r="AH137" s="35"/>
      <c r="AI137" s="35"/>
      <c r="AJ137" s="35">
        <f t="shared" si="159"/>
        <v>34936</v>
      </c>
      <c r="AK137" s="35"/>
      <c r="AL137" s="35"/>
      <c r="AM137" s="35"/>
      <c r="AN137" s="35"/>
      <c r="AO137" s="35"/>
      <c r="AP137" s="35"/>
      <c r="AQ137" s="35">
        <v>33190</v>
      </c>
      <c r="AR137" s="35">
        <v>750</v>
      </c>
      <c r="AS137" s="35">
        <v>996</v>
      </c>
      <c r="AT137" s="35"/>
      <c r="AU137" s="35"/>
      <c r="AV137" s="35"/>
      <c r="AW137" s="35">
        <f t="shared" si="160"/>
        <v>34936</v>
      </c>
      <c r="AX137" s="35">
        <f t="shared" si="96"/>
        <v>104808</v>
      </c>
      <c r="AY137" s="35"/>
      <c r="AZ137" s="35"/>
      <c r="BA137" s="35"/>
      <c r="BB137" s="35"/>
      <c r="BC137" s="35"/>
      <c r="BD137" s="35"/>
      <c r="BE137" s="35">
        <v>33190</v>
      </c>
      <c r="BF137" s="35">
        <v>750</v>
      </c>
      <c r="BG137" s="35">
        <v>996</v>
      </c>
      <c r="BH137" s="35"/>
      <c r="BI137" s="35"/>
      <c r="BJ137" s="35"/>
      <c r="BK137" s="35">
        <f t="shared" si="162"/>
        <v>34936</v>
      </c>
      <c r="BL137" s="35"/>
      <c r="BM137" s="35"/>
      <c r="BN137" s="35"/>
      <c r="BO137" s="35"/>
      <c r="BP137" s="35"/>
      <c r="BQ137" s="35"/>
      <c r="BR137" s="35">
        <v>33190</v>
      </c>
      <c r="BS137" s="35">
        <v>750</v>
      </c>
      <c r="BT137" s="35">
        <v>996</v>
      </c>
      <c r="BU137" s="35"/>
      <c r="BV137" s="35"/>
      <c r="BW137" s="35"/>
      <c r="BX137" s="35">
        <f t="shared" si="99"/>
        <v>34936</v>
      </c>
      <c r="BY137" s="35"/>
      <c r="BZ137" s="35"/>
      <c r="CA137" s="35"/>
      <c r="CB137" s="35"/>
      <c r="CC137" s="35"/>
      <c r="CD137" s="35"/>
      <c r="CE137" s="35">
        <v>33190</v>
      </c>
      <c r="CF137" s="35">
        <v>750</v>
      </c>
      <c r="CG137" s="35">
        <v>996</v>
      </c>
      <c r="CH137" s="35"/>
      <c r="CI137" s="35"/>
      <c r="CJ137" s="35"/>
      <c r="CK137" s="35">
        <f t="shared" si="100"/>
        <v>34936</v>
      </c>
      <c r="CL137" s="35">
        <f t="shared" si="105"/>
        <v>104808</v>
      </c>
      <c r="CM137" s="35"/>
      <c r="CN137" s="35"/>
      <c r="CO137" s="35"/>
      <c r="CP137" s="35"/>
      <c r="CQ137" s="35"/>
      <c r="CR137" s="35"/>
      <c r="CS137" s="35">
        <v>34850</v>
      </c>
      <c r="CT137" s="35">
        <v>750</v>
      </c>
      <c r="CU137" s="35">
        <v>1046</v>
      </c>
      <c r="CV137" s="35"/>
      <c r="CW137" s="35"/>
      <c r="CX137" s="35"/>
      <c r="CY137" s="35">
        <f t="shared" si="106"/>
        <v>36646</v>
      </c>
      <c r="CZ137" s="35"/>
      <c r="DA137" s="35"/>
      <c r="DB137" s="35"/>
      <c r="DC137" s="35"/>
      <c r="DD137" s="35"/>
      <c r="DE137" s="35"/>
      <c r="DF137" s="35">
        <f>9960+34850</f>
        <v>44810</v>
      </c>
      <c r="DG137" s="35">
        <v>750</v>
      </c>
      <c r="DH137" s="35">
        <f>300+1046</f>
        <v>1346</v>
      </c>
      <c r="DI137" s="35"/>
      <c r="DJ137" s="35"/>
      <c r="DK137" s="35"/>
      <c r="DL137" s="35">
        <f t="shared" si="101"/>
        <v>46906</v>
      </c>
      <c r="DM137" s="35"/>
      <c r="DN137" s="35"/>
      <c r="DO137" s="35"/>
      <c r="DP137" s="35"/>
      <c r="DQ137" s="35"/>
      <c r="DR137" s="35"/>
      <c r="DS137" s="35">
        <v>34850</v>
      </c>
      <c r="DT137" s="35">
        <v>750</v>
      </c>
      <c r="DU137" s="35">
        <v>1046</v>
      </c>
      <c r="DV137" s="35"/>
      <c r="DW137" s="35"/>
      <c r="DX137" s="35"/>
      <c r="DY137" s="35">
        <f t="shared" si="107"/>
        <v>36646</v>
      </c>
      <c r="DZ137" s="35">
        <f t="shared" si="108"/>
        <v>120198</v>
      </c>
      <c r="EA137" s="35"/>
      <c r="EB137" s="35"/>
      <c r="EC137" s="35"/>
      <c r="ED137" s="35"/>
      <c r="EE137" s="35"/>
      <c r="EF137" s="35"/>
      <c r="EG137" s="35">
        <v>34850</v>
      </c>
      <c r="EH137" s="35">
        <v>750</v>
      </c>
      <c r="EI137" s="35">
        <v>1046</v>
      </c>
      <c r="EJ137" s="35"/>
      <c r="EK137" s="35"/>
      <c r="EL137" s="35"/>
      <c r="EM137" s="35">
        <f t="shared" si="109"/>
        <v>36646</v>
      </c>
      <c r="EN137" s="35"/>
      <c r="EO137" s="35"/>
      <c r="EP137" s="35"/>
      <c r="EQ137" s="35"/>
      <c r="ER137" s="35"/>
      <c r="ES137" s="35"/>
      <c r="ET137" s="35">
        <v>34850</v>
      </c>
      <c r="EU137" s="35">
        <v>750</v>
      </c>
      <c r="EV137" s="35">
        <v>1046</v>
      </c>
      <c r="EW137" s="35"/>
      <c r="EX137" s="35"/>
      <c r="EY137" s="35"/>
      <c r="EZ137" s="35">
        <f t="shared" si="102"/>
        <v>36646</v>
      </c>
      <c r="FA137" s="35"/>
      <c r="FB137" s="35"/>
      <c r="FC137" s="35"/>
      <c r="FD137" s="35"/>
      <c r="FE137" s="35"/>
      <c r="FF137" s="35"/>
      <c r="FG137" s="35">
        <v>34850</v>
      </c>
      <c r="FH137" s="35">
        <v>750</v>
      </c>
      <c r="FI137" s="35">
        <v>1046</v>
      </c>
      <c r="FJ137" s="35"/>
      <c r="FK137" s="35"/>
      <c r="FL137" s="35"/>
      <c r="FM137" s="35">
        <f t="shared" si="110"/>
        <v>36646</v>
      </c>
      <c r="FN137" s="35">
        <f t="shared" si="111"/>
        <v>109938</v>
      </c>
      <c r="FO137" s="35">
        <f t="shared" si="112"/>
        <v>439752</v>
      </c>
    </row>
    <row r="138" spans="1:171" x14ac:dyDescent="0.35">
      <c r="A138" s="34"/>
      <c r="B138" s="40"/>
      <c r="C138" s="58"/>
      <c r="D138" s="79" t="s">
        <v>213</v>
      </c>
      <c r="E138" s="58" t="s">
        <v>8</v>
      </c>
      <c r="F138" s="58" t="s">
        <v>17</v>
      </c>
      <c r="G138" s="58"/>
      <c r="H138" s="58"/>
      <c r="I138" s="58"/>
      <c r="J138" s="58"/>
      <c r="K138" s="35">
        <v>33140</v>
      </c>
      <c r="L138" s="35">
        <v>750</v>
      </c>
      <c r="M138" s="35">
        <v>994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>
        <f t="shared" si="161"/>
        <v>34884</v>
      </c>
      <c r="X138" s="35">
        <v>33140</v>
      </c>
      <c r="Y138" s="35">
        <v>750</v>
      </c>
      <c r="Z138" s="35">
        <v>994</v>
      </c>
      <c r="AA138" s="35"/>
      <c r="AB138" s="35"/>
      <c r="AC138" s="35"/>
      <c r="AD138" s="35"/>
      <c r="AE138" s="35"/>
      <c r="AF138" s="35"/>
      <c r="AG138" s="35"/>
      <c r="AH138" s="35"/>
      <c r="AI138" s="35"/>
      <c r="AJ138" s="35">
        <f t="shared" si="159"/>
        <v>34884</v>
      </c>
      <c r="AK138" s="35">
        <v>33140</v>
      </c>
      <c r="AL138" s="35">
        <v>750</v>
      </c>
      <c r="AM138" s="35">
        <v>994</v>
      </c>
      <c r="AN138" s="35"/>
      <c r="AO138" s="35"/>
      <c r="AP138" s="35"/>
      <c r="AQ138" s="35"/>
      <c r="AR138" s="35"/>
      <c r="AS138" s="35"/>
      <c r="AT138" s="35"/>
      <c r="AU138" s="35"/>
      <c r="AV138" s="35"/>
      <c r="AW138" s="35">
        <f t="shared" si="160"/>
        <v>34884</v>
      </c>
      <c r="AX138" s="35">
        <f t="shared" si="96"/>
        <v>104652</v>
      </c>
      <c r="AY138" s="35">
        <v>33140</v>
      </c>
      <c r="AZ138" s="35">
        <v>750</v>
      </c>
      <c r="BA138" s="35">
        <v>994</v>
      </c>
      <c r="BB138" s="35"/>
      <c r="BC138" s="35"/>
      <c r="BD138" s="35"/>
      <c r="BE138" s="35"/>
      <c r="BF138" s="35"/>
      <c r="BG138" s="35"/>
      <c r="BH138" s="35"/>
      <c r="BI138" s="35"/>
      <c r="BJ138" s="35"/>
      <c r="BK138" s="35">
        <f t="shared" si="162"/>
        <v>34884</v>
      </c>
      <c r="BL138" s="35">
        <v>33140</v>
      </c>
      <c r="BM138" s="35">
        <v>750</v>
      </c>
      <c r="BN138" s="35">
        <v>994</v>
      </c>
      <c r="BO138" s="35"/>
      <c r="BP138" s="35"/>
      <c r="BQ138" s="35"/>
      <c r="BR138" s="35"/>
      <c r="BS138" s="35"/>
      <c r="BT138" s="35"/>
      <c r="BU138" s="35"/>
      <c r="BV138" s="35"/>
      <c r="BW138" s="35"/>
      <c r="BX138" s="35">
        <f t="shared" si="99"/>
        <v>34884</v>
      </c>
      <c r="BY138" s="35">
        <v>33140</v>
      </c>
      <c r="BZ138" s="35">
        <v>750</v>
      </c>
      <c r="CA138" s="35">
        <v>994</v>
      </c>
      <c r="CB138" s="35"/>
      <c r="CC138" s="35"/>
      <c r="CD138" s="35"/>
      <c r="CE138" s="35"/>
      <c r="CF138" s="35"/>
      <c r="CG138" s="35"/>
      <c r="CH138" s="35"/>
      <c r="CI138" s="35"/>
      <c r="CJ138" s="35"/>
      <c r="CK138" s="35">
        <f t="shared" si="100"/>
        <v>34884</v>
      </c>
      <c r="CL138" s="35">
        <f t="shared" si="105"/>
        <v>104652</v>
      </c>
      <c r="CM138" s="35">
        <v>34800</v>
      </c>
      <c r="CN138" s="35">
        <v>750</v>
      </c>
      <c r="CO138" s="35">
        <v>1044</v>
      </c>
      <c r="CP138" s="35"/>
      <c r="CQ138" s="35"/>
      <c r="CR138" s="35"/>
      <c r="CS138" s="35"/>
      <c r="CT138" s="35"/>
      <c r="CU138" s="35"/>
      <c r="CV138" s="35"/>
      <c r="CW138" s="35"/>
      <c r="CX138" s="35"/>
      <c r="CY138" s="35">
        <f t="shared" si="106"/>
        <v>36594</v>
      </c>
      <c r="CZ138" s="35">
        <f>9960+34800</f>
        <v>44760</v>
      </c>
      <c r="DA138" s="35">
        <v>750</v>
      </c>
      <c r="DB138" s="35">
        <f>300+1044</f>
        <v>1344</v>
      </c>
      <c r="DC138" s="35"/>
      <c r="DD138" s="35"/>
      <c r="DE138" s="35"/>
      <c r="DF138" s="35"/>
      <c r="DG138" s="35"/>
      <c r="DH138" s="35"/>
      <c r="DI138" s="35"/>
      <c r="DJ138" s="35"/>
      <c r="DK138" s="35"/>
      <c r="DL138" s="35">
        <f t="shared" si="101"/>
        <v>46854</v>
      </c>
      <c r="DM138" s="35">
        <v>34800</v>
      </c>
      <c r="DN138" s="35">
        <v>750</v>
      </c>
      <c r="DO138" s="35">
        <v>1044</v>
      </c>
      <c r="DP138" s="35"/>
      <c r="DQ138" s="35"/>
      <c r="DR138" s="35"/>
      <c r="DS138" s="35"/>
      <c r="DT138" s="35"/>
      <c r="DU138" s="35"/>
      <c r="DV138" s="35"/>
      <c r="DW138" s="35"/>
      <c r="DX138" s="35"/>
      <c r="DY138" s="35">
        <f t="shared" si="107"/>
        <v>36594</v>
      </c>
      <c r="DZ138" s="35">
        <f t="shared" si="108"/>
        <v>120042</v>
      </c>
      <c r="EA138" s="35">
        <v>34800</v>
      </c>
      <c r="EB138" s="35">
        <v>750</v>
      </c>
      <c r="EC138" s="35">
        <v>1044</v>
      </c>
      <c r="ED138" s="35"/>
      <c r="EE138" s="35"/>
      <c r="EF138" s="35"/>
      <c r="EG138" s="35"/>
      <c r="EH138" s="35"/>
      <c r="EI138" s="35"/>
      <c r="EJ138" s="35"/>
      <c r="EK138" s="35"/>
      <c r="EL138" s="35"/>
      <c r="EM138" s="35">
        <f t="shared" si="109"/>
        <v>36594</v>
      </c>
      <c r="EN138" s="35">
        <v>34800</v>
      </c>
      <c r="EO138" s="35">
        <v>750</v>
      </c>
      <c r="EP138" s="35">
        <v>1044</v>
      </c>
      <c r="EQ138" s="35"/>
      <c r="ER138" s="35"/>
      <c r="ES138" s="35"/>
      <c r="ET138" s="35"/>
      <c r="EU138" s="35"/>
      <c r="EV138" s="35"/>
      <c r="EW138" s="35"/>
      <c r="EX138" s="35"/>
      <c r="EY138" s="35"/>
      <c r="EZ138" s="35">
        <f t="shared" si="102"/>
        <v>36594</v>
      </c>
      <c r="FA138" s="35">
        <v>34800</v>
      </c>
      <c r="FB138" s="35">
        <v>750</v>
      </c>
      <c r="FC138" s="35">
        <v>1044</v>
      </c>
      <c r="FD138" s="35"/>
      <c r="FE138" s="35"/>
      <c r="FF138" s="35"/>
      <c r="FG138" s="35"/>
      <c r="FH138" s="35"/>
      <c r="FI138" s="35"/>
      <c r="FJ138" s="35"/>
      <c r="FK138" s="35"/>
      <c r="FL138" s="35"/>
      <c r="FM138" s="35">
        <f t="shared" si="110"/>
        <v>36594</v>
      </c>
      <c r="FN138" s="35">
        <f t="shared" si="111"/>
        <v>109782</v>
      </c>
      <c r="FO138" s="35">
        <f t="shared" si="112"/>
        <v>439128</v>
      </c>
    </row>
    <row r="139" spans="1:171" x14ac:dyDescent="0.35">
      <c r="A139" s="34"/>
      <c r="B139" s="40"/>
      <c r="C139" s="58"/>
      <c r="D139" s="79" t="s">
        <v>214</v>
      </c>
      <c r="E139" s="58" t="s">
        <v>9</v>
      </c>
      <c r="F139" s="58" t="s">
        <v>17</v>
      </c>
      <c r="G139" s="58"/>
      <c r="H139" s="58"/>
      <c r="I139" s="58"/>
      <c r="J139" s="58"/>
      <c r="K139" s="35"/>
      <c r="L139" s="35"/>
      <c r="M139" s="35"/>
      <c r="N139" s="35">
        <v>24480</v>
      </c>
      <c r="O139" s="35">
        <v>750</v>
      </c>
      <c r="P139" s="35">
        <v>734</v>
      </c>
      <c r="Q139" s="35"/>
      <c r="R139" s="35"/>
      <c r="S139" s="35"/>
      <c r="T139" s="35"/>
      <c r="U139" s="35"/>
      <c r="V139" s="35"/>
      <c r="W139" s="35">
        <f t="shared" si="161"/>
        <v>25964</v>
      </c>
      <c r="X139" s="35"/>
      <c r="Y139" s="35"/>
      <c r="Z139" s="35"/>
      <c r="AA139" s="35">
        <v>24480</v>
      </c>
      <c r="AB139" s="35">
        <v>750</v>
      </c>
      <c r="AC139" s="35">
        <v>734</v>
      </c>
      <c r="AD139" s="35"/>
      <c r="AE139" s="35"/>
      <c r="AF139" s="35"/>
      <c r="AG139" s="35"/>
      <c r="AH139" s="35"/>
      <c r="AI139" s="35"/>
      <c r="AJ139" s="35">
        <f t="shared" si="159"/>
        <v>25964</v>
      </c>
      <c r="AK139" s="35"/>
      <c r="AL139" s="35"/>
      <c r="AM139" s="35"/>
      <c r="AN139" s="35">
        <v>24480</v>
      </c>
      <c r="AO139" s="35">
        <v>750</v>
      </c>
      <c r="AP139" s="35">
        <v>734</v>
      </c>
      <c r="AQ139" s="35"/>
      <c r="AR139" s="35"/>
      <c r="AS139" s="35"/>
      <c r="AT139" s="35"/>
      <c r="AU139" s="35"/>
      <c r="AV139" s="35"/>
      <c r="AW139" s="35">
        <f t="shared" si="160"/>
        <v>25964</v>
      </c>
      <c r="AX139" s="35">
        <f t="shared" si="96"/>
        <v>77892</v>
      </c>
      <c r="AY139" s="35"/>
      <c r="AZ139" s="35"/>
      <c r="BA139" s="35"/>
      <c r="BB139" s="35">
        <v>24480</v>
      </c>
      <c r="BC139" s="35">
        <v>750</v>
      </c>
      <c r="BD139" s="35">
        <v>734</v>
      </c>
      <c r="BE139" s="35"/>
      <c r="BF139" s="35"/>
      <c r="BG139" s="35"/>
      <c r="BH139" s="35"/>
      <c r="BI139" s="35"/>
      <c r="BJ139" s="35"/>
      <c r="BK139" s="35">
        <f t="shared" si="162"/>
        <v>25964</v>
      </c>
      <c r="BL139" s="35"/>
      <c r="BM139" s="35"/>
      <c r="BN139" s="35"/>
      <c r="BO139" s="35">
        <v>24480</v>
      </c>
      <c r="BP139" s="35">
        <v>750</v>
      </c>
      <c r="BQ139" s="35">
        <v>734</v>
      </c>
      <c r="BR139" s="35"/>
      <c r="BS139" s="35"/>
      <c r="BT139" s="35"/>
      <c r="BU139" s="35"/>
      <c r="BV139" s="35"/>
      <c r="BW139" s="35"/>
      <c r="BX139" s="35">
        <f t="shared" si="99"/>
        <v>25964</v>
      </c>
      <c r="BY139" s="35"/>
      <c r="BZ139" s="35"/>
      <c r="CA139" s="35"/>
      <c r="CB139" s="35">
        <v>24480</v>
      </c>
      <c r="CC139" s="35">
        <v>750</v>
      </c>
      <c r="CD139" s="35">
        <v>734</v>
      </c>
      <c r="CE139" s="35"/>
      <c r="CF139" s="35"/>
      <c r="CG139" s="35"/>
      <c r="CH139" s="35"/>
      <c r="CI139" s="35"/>
      <c r="CJ139" s="35"/>
      <c r="CK139" s="35">
        <f t="shared" si="100"/>
        <v>25964</v>
      </c>
      <c r="CL139" s="35">
        <f t="shared" si="105"/>
        <v>77892</v>
      </c>
      <c r="CM139" s="35"/>
      <c r="CN139" s="35"/>
      <c r="CO139" s="35"/>
      <c r="CP139" s="35">
        <v>25710</v>
      </c>
      <c r="CQ139" s="35">
        <v>750</v>
      </c>
      <c r="CR139" s="35">
        <v>771</v>
      </c>
      <c r="CS139" s="35"/>
      <c r="CT139" s="35"/>
      <c r="CU139" s="35"/>
      <c r="CV139" s="35"/>
      <c r="CW139" s="35"/>
      <c r="CX139" s="35"/>
      <c r="CY139" s="35">
        <f t="shared" si="106"/>
        <v>27231</v>
      </c>
      <c r="CZ139" s="35"/>
      <c r="DA139" s="35"/>
      <c r="DB139" s="35"/>
      <c r="DC139" s="35">
        <f>7380+25710</f>
        <v>33090</v>
      </c>
      <c r="DD139" s="35">
        <v>750</v>
      </c>
      <c r="DE139" s="35">
        <f>222+771</f>
        <v>993</v>
      </c>
      <c r="DF139" s="35"/>
      <c r="DG139" s="35"/>
      <c r="DH139" s="35"/>
      <c r="DI139" s="35"/>
      <c r="DJ139" s="35"/>
      <c r="DK139" s="35"/>
      <c r="DL139" s="35">
        <f t="shared" si="101"/>
        <v>34833</v>
      </c>
      <c r="DM139" s="35"/>
      <c r="DN139" s="35"/>
      <c r="DO139" s="35"/>
      <c r="DP139" s="35">
        <v>25710</v>
      </c>
      <c r="DQ139" s="35">
        <v>750</v>
      </c>
      <c r="DR139" s="35">
        <v>771</v>
      </c>
      <c r="DS139" s="35"/>
      <c r="DT139" s="35"/>
      <c r="DU139" s="35"/>
      <c r="DV139" s="35"/>
      <c r="DW139" s="35"/>
      <c r="DX139" s="35"/>
      <c r="DY139" s="35">
        <f t="shared" si="107"/>
        <v>27231</v>
      </c>
      <c r="DZ139" s="35">
        <f t="shared" si="108"/>
        <v>89295</v>
      </c>
      <c r="EA139" s="35"/>
      <c r="EB139" s="35"/>
      <c r="EC139" s="35"/>
      <c r="ED139" s="35">
        <v>25710</v>
      </c>
      <c r="EE139" s="35">
        <v>750</v>
      </c>
      <c r="EF139" s="35">
        <v>771</v>
      </c>
      <c r="EG139" s="35"/>
      <c r="EH139" s="35"/>
      <c r="EI139" s="35"/>
      <c r="EJ139" s="35"/>
      <c r="EK139" s="35"/>
      <c r="EL139" s="35"/>
      <c r="EM139" s="35">
        <f t="shared" si="109"/>
        <v>27231</v>
      </c>
      <c r="EN139" s="35"/>
      <c r="EO139" s="35"/>
      <c r="EP139" s="35"/>
      <c r="EQ139" s="35">
        <v>25710</v>
      </c>
      <c r="ER139" s="35">
        <v>750</v>
      </c>
      <c r="ES139" s="35">
        <v>771</v>
      </c>
      <c r="ET139" s="35"/>
      <c r="EU139" s="35"/>
      <c r="EV139" s="35"/>
      <c r="EW139" s="35"/>
      <c r="EX139" s="35"/>
      <c r="EY139" s="35"/>
      <c r="EZ139" s="35">
        <f t="shared" si="102"/>
        <v>27231</v>
      </c>
      <c r="FA139" s="35"/>
      <c r="FB139" s="35"/>
      <c r="FC139" s="35"/>
      <c r="FD139" s="35">
        <v>25710</v>
      </c>
      <c r="FE139" s="35">
        <v>750</v>
      </c>
      <c r="FF139" s="35">
        <v>771</v>
      </c>
      <c r="FG139" s="35"/>
      <c r="FH139" s="35"/>
      <c r="FI139" s="35"/>
      <c r="FJ139" s="35"/>
      <c r="FK139" s="35"/>
      <c r="FL139" s="35"/>
      <c r="FM139" s="35">
        <f t="shared" si="110"/>
        <v>27231</v>
      </c>
      <c r="FN139" s="35">
        <f t="shared" si="111"/>
        <v>81693</v>
      </c>
      <c r="FO139" s="35">
        <f t="shared" si="112"/>
        <v>326772</v>
      </c>
    </row>
    <row r="140" spans="1:171" x14ac:dyDescent="0.35">
      <c r="A140" s="34"/>
      <c r="B140" s="40"/>
      <c r="C140" s="58"/>
      <c r="D140" s="79" t="s">
        <v>215</v>
      </c>
      <c r="E140" s="58" t="s">
        <v>9</v>
      </c>
      <c r="F140" s="58" t="s">
        <v>17</v>
      </c>
      <c r="G140" s="58"/>
      <c r="H140" s="58"/>
      <c r="I140" s="58"/>
      <c r="J140" s="58"/>
      <c r="K140" s="35"/>
      <c r="L140" s="35"/>
      <c r="M140" s="35"/>
      <c r="N140" s="35">
        <v>24470</v>
      </c>
      <c r="O140" s="35">
        <v>750</v>
      </c>
      <c r="P140" s="35">
        <v>734</v>
      </c>
      <c r="Q140" s="35"/>
      <c r="R140" s="35"/>
      <c r="S140" s="35"/>
      <c r="T140" s="35"/>
      <c r="U140" s="35"/>
      <c r="V140" s="35"/>
      <c r="W140" s="35">
        <f t="shared" si="161"/>
        <v>25954</v>
      </c>
      <c r="X140" s="35"/>
      <c r="Y140" s="35"/>
      <c r="Z140" s="35"/>
      <c r="AA140" s="35">
        <v>24470</v>
      </c>
      <c r="AB140" s="35">
        <v>750</v>
      </c>
      <c r="AC140" s="35">
        <v>734</v>
      </c>
      <c r="AD140" s="35"/>
      <c r="AE140" s="35"/>
      <c r="AF140" s="35"/>
      <c r="AG140" s="35"/>
      <c r="AH140" s="35"/>
      <c r="AI140" s="35"/>
      <c r="AJ140" s="35">
        <f t="shared" si="159"/>
        <v>25954</v>
      </c>
      <c r="AK140" s="35"/>
      <c r="AL140" s="35"/>
      <c r="AM140" s="35"/>
      <c r="AN140" s="35">
        <v>24470</v>
      </c>
      <c r="AO140" s="35">
        <v>750</v>
      </c>
      <c r="AP140" s="35">
        <v>734</v>
      </c>
      <c r="AQ140" s="35"/>
      <c r="AR140" s="35"/>
      <c r="AS140" s="35"/>
      <c r="AT140" s="35"/>
      <c r="AU140" s="35"/>
      <c r="AV140" s="35"/>
      <c r="AW140" s="35">
        <f t="shared" si="160"/>
        <v>25954</v>
      </c>
      <c r="AX140" s="35">
        <f t="shared" si="96"/>
        <v>77862</v>
      </c>
      <c r="AY140" s="35"/>
      <c r="AZ140" s="35"/>
      <c r="BA140" s="35"/>
      <c r="BB140" s="35">
        <v>24470</v>
      </c>
      <c r="BC140" s="35">
        <v>750</v>
      </c>
      <c r="BD140" s="35">
        <v>734</v>
      </c>
      <c r="BE140" s="35"/>
      <c r="BF140" s="35"/>
      <c r="BG140" s="35"/>
      <c r="BH140" s="35"/>
      <c r="BI140" s="35"/>
      <c r="BJ140" s="35"/>
      <c r="BK140" s="35">
        <f t="shared" si="162"/>
        <v>25954</v>
      </c>
      <c r="BL140" s="35"/>
      <c r="BM140" s="35"/>
      <c r="BN140" s="35"/>
      <c r="BO140" s="35">
        <v>24470</v>
      </c>
      <c r="BP140" s="35">
        <v>750</v>
      </c>
      <c r="BQ140" s="35">
        <v>734</v>
      </c>
      <c r="BR140" s="35"/>
      <c r="BS140" s="35"/>
      <c r="BT140" s="35"/>
      <c r="BU140" s="35"/>
      <c r="BV140" s="35"/>
      <c r="BW140" s="35"/>
      <c r="BX140" s="35">
        <f t="shared" si="99"/>
        <v>25954</v>
      </c>
      <c r="BY140" s="35"/>
      <c r="BZ140" s="35"/>
      <c r="CA140" s="35"/>
      <c r="CB140" s="35">
        <v>24470</v>
      </c>
      <c r="CC140" s="35">
        <v>750</v>
      </c>
      <c r="CD140" s="35">
        <v>734</v>
      </c>
      <c r="CE140" s="35"/>
      <c r="CF140" s="35"/>
      <c r="CG140" s="35"/>
      <c r="CH140" s="35"/>
      <c r="CI140" s="35"/>
      <c r="CJ140" s="35"/>
      <c r="CK140" s="35">
        <f t="shared" si="100"/>
        <v>25954</v>
      </c>
      <c r="CL140" s="35">
        <f t="shared" si="105"/>
        <v>77862</v>
      </c>
      <c r="CM140" s="35"/>
      <c r="CN140" s="35"/>
      <c r="CO140" s="35"/>
      <c r="CP140" s="35">
        <v>25700</v>
      </c>
      <c r="CQ140" s="35">
        <v>750</v>
      </c>
      <c r="CR140" s="35">
        <v>771</v>
      </c>
      <c r="CS140" s="35"/>
      <c r="CT140" s="35"/>
      <c r="CU140" s="35"/>
      <c r="CV140" s="35"/>
      <c r="CW140" s="35"/>
      <c r="CX140" s="35"/>
      <c r="CY140" s="35">
        <f t="shared" si="106"/>
        <v>27221</v>
      </c>
      <c r="CZ140" s="35"/>
      <c r="DA140" s="35"/>
      <c r="DB140" s="35"/>
      <c r="DC140" s="35">
        <f>7380+25700</f>
        <v>33080</v>
      </c>
      <c r="DD140" s="35">
        <v>750</v>
      </c>
      <c r="DE140" s="35">
        <f>222+771</f>
        <v>993</v>
      </c>
      <c r="DF140" s="35"/>
      <c r="DG140" s="35"/>
      <c r="DH140" s="35"/>
      <c r="DI140" s="35"/>
      <c r="DJ140" s="35"/>
      <c r="DK140" s="35"/>
      <c r="DL140" s="35">
        <f t="shared" si="101"/>
        <v>34823</v>
      </c>
      <c r="DM140" s="35"/>
      <c r="DN140" s="35"/>
      <c r="DO140" s="35"/>
      <c r="DP140" s="35">
        <v>25700</v>
      </c>
      <c r="DQ140" s="35">
        <v>750</v>
      </c>
      <c r="DR140" s="35">
        <v>771</v>
      </c>
      <c r="DS140" s="35"/>
      <c r="DT140" s="35"/>
      <c r="DU140" s="35"/>
      <c r="DV140" s="35"/>
      <c r="DW140" s="35"/>
      <c r="DX140" s="35"/>
      <c r="DY140" s="35">
        <f t="shared" si="107"/>
        <v>27221</v>
      </c>
      <c r="DZ140" s="35">
        <f t="shared" si="108"/>
        <v>89265</v>
      </c>
      <c r="EA140" s="35"/>
      <c r="EB140" s="35"/>
      <c r="EC140" s="35"/>
      <c r="ED140" s="35">
        <v>25700</v>
      </c>
      <c r="EE140" s="35">
        <v>750</v>
      </c>
      <c r="EF140" s="35">
        <v>771</v>
      </c>
      <c r="EG140" s="35"/>
      <c r="EH140" s="35"/>
      <c r="EI140" s="35"/>
      <c r="EJ140" s="35"/>
      <c r="EK140" s="35"/>
      <c r="EL140" s="35"/>
      <c r="EM140" s="35">
        <f t="shared" si="109"/>
        <v>27221</v>
      </c>
      <c r="EN140" s="35"/>
      <c r="EO140" s="35"/>
      <c r="EP140" s="35"/>
      <c r="EQ140" s="35">
        <v>25700</v>
      </c>
      <c r="ER140" s="35">
        <v>750</v>
      </c>
      <c r="ES140" s="35">
        <v>771</v>
      </c>
      <c r="ET140" s="35"/>
      <c r="EU140" s="35"/>
      <c r="EV140" s="35"/>
      <c r="EW140" s="35"/>
      <c r="EX140" s="35"/>
      <c r="EY140" s="35"/>
      <c r="EZ140" s="35">
        <f t="shared" si="102"/>
        <v>27221</v>
      </c>
      <c r="FA140" s="35"/>
      <c r="FB140" s="35"/>
      <c r="FC140" s="35"/>
      <c r="FD140" s="35">
        <v>25700</v>
      </c>
      <c r="FE140" s="35">
        <v>750</v>
      </c>
      <c r="FF140" s="35">
        <v>771</v>
      </c>
      <c r="FG140" s="35"/>
      <c r="FH140" s="35"/>
      <c r="FI140" s="35"/>
      <c r="FJ140" s="35"/>
      <c r="FK140" s="35"/>
      <c r="FL140" s="35"/>
      <c r="FM140" s="35">
        <f t="shared" si="110"/>
        <v>27221</v>
      </c>
      <c r="FN140" s="35">
        <f t="shared" si="111"/>
        <v>81663</v>
      </c>
      <c r="FO140" s="35">
        <f t="shared" si="112"/>
        <v>326652</v>
      </c>
    </row>
    <row r="141" spans="1:171" x14ac:dyDescent="0.35">
      <c r="A141" s="34"/>
      <c r="B141" s="40"/>
      <c r="C141" s="58"/>
      <c r="D141" s="79" t="s">
        <v>216</v>
      </c>
      <c r="E141" s="58" t="s">
        <v>9</v>
      </c>
      <c r="F141" s="58" t="s">
        <v>18</v>
      </c>
      <c r="G141" s="58"/>
      <c r="H141" s="58"/>
      <c r="I141" s="58"/>
      <c r="J141" s="58"/>
      <c r="K141" s="35"/>
      <c r="L141" s="35"/>
      <c r="M141" s="35"/>
      <c r="N141" s="35"/>
      <c r="O141" s="35"/>
      <c r="P141" s="35"/>
      <c r="Q141" s="35"/>
      <c r="R141" s="35"/>
      <c r="S141" s="35"/>
      <c r="T141" s="35">
        <v>24480</v>
      </c>
      <c r="U141" s="35">
        <v>750</v>
      </c>
      <c r="V141" s="35">
        <v>734</v>
      </c>
      <c r="W141" s="35">
        <f t="shared" si="161"/>
        <v>25964</v>
      </c>
      <c r="X141" s="35"/>
      <c r="Y141" s="35"/>
      <c r="Z141" s="35"/>
      <c r="AA141" s="35"/>
      <c r="AB141" s="35"/>
      <c r="AC141" s="35"/>
      <c r="AD141" s="35"/>
      <c r="AE141" s="35"/>
      <c r="AF141" s="35"/>
      <c r="AG141" s="35">
        <v>24480</v>
      </c>
      <c r="AH141" s="35">
        <v>750</v>
      </c>
      <c r="AI141" s="35">
        <v>734</v>
      </c>
      <c r="AJ141" s="35">
        <f t="shared" si="159"/>
        <v>25964</v>
      </c>
      <c r="AK141" s="35"/>
      <c r="AL141" s="35"/>
      <c r="AM141" s="35"/>
      <c r="AN141" s="35"/>
      <c r="AO141" s="35"/>
      <c r="AP141" s="35"/>
      <c r="AQ141" s="35"/>
      <c r="AR141" s="35"/>
      <c r="AS141" s="35"/>
      <c r="AT141" s="35">
        <v>24480</v>
      </c>
      <c r="AU141" s="35">
        <v>750</v>
      </c>
      <c r="AV141" s="35">
        <v>734</v>
      </c>
      <c r="AW141" s="35">
        <f t="shared" si="160"/>
        <v>25964</v>
      </c>
      <c r="AX141" s="35">
        <f t="shared" si="96"/>
        <v>77892</v>
      </c>
      <c r="AY141" s="35"/>
      <c r="AZ141" s="35"/>
      <c r="BA141" s="35"/>
      <c r="BB141" s="35"/>
      <c r="BC141" s="35"/>
      <c r="BD141" s="35"/>
      <c r="BE141" s="35"/>
      <c r="BF141" s="35"/>
      <c r="BG141" s="35"/>
      <c r="BH141" s="35">
        <v>24480</v>
      </c>
      <c r="BI141" s="35">
        <v>750</v>
      </c>
      <c r="BJ141" s="35">
        <v>734</v>
      </c>
      <c r="BK141" s="35">
        <f t="shared" si="162"/>
        <v>25964</v>
      </c>
      <c r="BL141" s="35"/>
      <c r="BM141" s="35"/>
      <c r="BN141" s="35"/>
      <c r="BO141" s="35"/>
      <c r="BP141" s="35"/>
      <c r="BQ141" s="35"/>
      <c r="BR141" s="35"/>
      <c r="BS141" s="35"/>
      <c r="BT141" s="35"/>
      <c r="BU141" s="35">
        <v>24480</v>
      </c>
      <c r="BV141" s="35">
        <v>750</v>
      </c>
      <c r="BW141" s="35">
        <v>734</v>
      </c>
      <c r="BX141" s="35">
        <f t="shared" si="99"/>
        <v>25964</v>
      </c>
      <c r="BY141" s="35"/>
      <c r="BZ141" s="35"/>
      <c r="CA141" s="35"/>
      <c r="CB141" s="35"/>
      <c r="CC141" s="35"/>
      <c r="CD141" s="35"/>
      <c r="CE141" s="35"/>
      <c r="CF141" s="35"/>
      <c r="CG141" s="35"/>
      <c r="CH141" s="35">
        <v>24480</v>
      </c>
      <c r="CI141" s="35">
        <v>750</v>
      </c>
      <c r="CJ141" s="35">
        <v>734</v>
      </c>
      <c r="CK141" s="35">
        <f t="shared" si="100"/>
        <v>25964</v>
      </c>
      <c r="CL141" s="35">
        <f t="shared" si="105"/>
        <v>77892</v>
      </c>
      <c r="CM141" s="35"/>
      <c r="CN141" s="35"/>
      <c r="CO141" s="35"/>
      <c r="CP141" s="35"/>
      <c r="CQ141" s="35"/>
      <c r="CR141" s="35"/>
      <c r="CS141" s="35"/>
      <c r="CT141" s="35"/>
      <c r="CU141" s="35"/>
      <c r="CV141" s="35">
        <v>25710</v>
      </c>
      <c r="CW141" s="35">
        <v>750</v>
      </c>
      <c r="CX141" s="35">
        <v>771</v>
      </c>
      <c r="CY141" s="35">
        <f t="shared" si="106"/>
        <v>27231</v>
      </c>
      <c r="CZ141" s="35"/>
      <c r="DA141" s="35"/>
      <c r="DB141" s="35"/>
      <c r="DC141" s="35"/>
      <c r="DD141" s="35"/>
      <c r="DE141" s="35"/>
      <c r="DF141" s="35"/>
      <c r="DG141" s="35"/>
      <c r="DH141" s="35"/>
      <c r="DI141" s="35">
        <f>7380+25710</f>
        <v>33090</v>
      </c>
      <c r="DJ141" s="35">
        <v>750</v>
      </c>
      <c r="DK141" s="35">
        <f>222+771</f>
        <v>993</v>
      </c>
      <c r="DL141" s="35">
        <f t="shared" si="101"/>
        <v>34833</v>
      </c>
      <c r="DM141" s="35"/>
      <c r="DN141" s="35"/>
      <c r="DO141" s="35"/>
      <c r="DP141" s="35"/>
      <c r="DQ141" s="35"/>
      <c r="DR141" s="35"/>
      <c r="DS141" s="35"/>
      <c r="DT141" s="35"/>
      <c r="DU141" s="35"/>
      <c r="DV141" s="35">
        <v>25710</v>
      </c>
      <c r="DW141" s="35">
        <v>750</v>
      </c>
      <c r="DX141" s="35">
        <v>771</v>
      </c>
      <c r="DY141" s="35">
        <f t="shared" si="107"/>
        <v>27231</v>
      </c>
      <c r="DZ141" s="35">
        <f t="shared" si="108"/>
        <v>89295</v>
      </c>
      <c r="EA141" s="35"/>
      <c r="EB141" s="35"/>
      <c r="EC141" s="35"/>
      <c r="ED141" s="35"/>
      <c r="EE141" s="35"/>
      <c r="EF141" s="35"/>
      <c r="EG141" s="35"/>
      <c r="EH141" s="35"/>
      <c r="EI141" s="35"/>
      <c r="EJ141" s="35">
        <v>25710</v>
      </c>
      <c r="EK141" s="35">
        <v>750</v>
      </c>
      <c r="EL141" s="35">
        <v>771</v>
      </c>
      <c r="EM141" s="35">
        <f t="shared" si="109"/>
        <v>27231</v>
      </c>
      <c r="EN141" s="35"/>
      <c r="EO141" s="35"/>
      <c r="EP141" s="35"/>
      <c r="EQ141" s="35"/>
      <c r="ER141" s="35"/>
      <c r="ES141" s="35"/>
      <c r="ET141" s="35"/>
      <c r="EU141" s="35"/>
      <c r="EV141" s="35"/>
      <c r="EW141" s="35">
        <v>25710</v>
      </c>
      <c r="EX141" s="35">
        <v>750</v>
      </c>
      <c r="EY141" s="35">
        <v>771</v>
      </c>
      <c r="EZ141" s="35">
        <f t="shared" si="102"/>
        <v>27231</v>
      </c>
      <c r="FA141" s="35"/>
      <c r="FB141" s="35"/>
      <c r="FC141" s="35"/>
      <c r="FD141" s="35"/>
      <c r="FE141" s="35"/>
      <c r="FF141" s="35"/>
      <c r="FG141" s="35"/>
      <c r="FH141" s="35"/>
      <c r="FI141" s="35"/>
      <c r="FJ141" s="35">
        <v>25710</v>
      </c>
      <c r="FK141" s="35">
        <v>750</v>
      </c>
      <c r="FL141" s="35">
        <v>771</v>
      </c>
      <c r="FM141" s="35">
        <f t="shared" si="110"/>
        <v>27231</v>
      </c>
      <c r="FN141" s="35">
        <f t="shared" si="111"/>
        <v>81693</v>
      </c>
      <c r="FO141" s="35">
        <f t="shared" si="112"/>
        <v>326772</v>
      </c>
    </row>
    <row r="142" spans="1:171" x14ac:dyDescent="0.35">
      <c r="A142" s="34"/>
      <c r="B142" s="40"/>
      <c r="C142" s="58"/>
      <c r="D142" s="79" t="s">
        <v>217</v>
      </c>
      <c r="E142" s="58" t="s">
        <v>8</v>
      </c>
      <c r="F142" s="58" t="s">
        <v>17</v>
      </c>
      <c r="G142" s="58"/>
      <c r="H142" s="58"/>
      <c r="I142" s="58"/>
      <c r="J142" s="58"/>
      <c r="K142" s="35">
        <v>31850</v>
      </c>
      <c r="L142" s="35">
        <v>750</v>
      </c>
      <c r="M142" s="35">
        <v>956</v>
      </c>
      <c r="N142" s="35"/>
      <c r="O142" s="35"/>
      <c r="P142" s="35"/>
      <c r="Q142" s="35"/>
      <c r="R142" s="35"/>
      <c r="S142" s="35"/>
      <c r="T142" s="35"/>
      <c r="U142" s="35"/>
      <c r="V142" s="35"/>
      <c r="W142" s="35">
        <f t="shared" si="161"/>
        <v>33556</v>
      </c>
      <c r="X142" s="35">
        <v>31850</v>
      </c>
      <c r="Y142" s="35">
        <v>750</v>
      </c>
      <c r="Z142" s="35">
        <v>956</v>
      </c>
      <c r="AA142" s="35"/>
      <c r="AB142" s="35"/>
      <c r="AC142" s="35"/>
      <c r="AD142" s="35"/>
      <c r="AE142" s="35"/>
      <c r="AF142" s="35"/>
      <c r="AG142" s="35"/>
      <c r="AH142" s="35"/>
      <c r="AI142" s="35"/>
      <c r="AJ142" s="35">
        <f t="shared" si="159"/>
        <v>33556</v>
      </c>
      <c r="AK142" s="35">
        <v>31850</v>
      </c>
      <c r="AL142" s="35">
        <v>750</v>
      </c>
      <c r="AM142" s="35">
        <v>956</v>
      </c>
      <c r="AN142" s="35"/>
      <c r="AO142" s="35"/>
      <c r="AP142" s="35"/>
      <c r="AQ142" s="35"/>
      <c r="AR142" s="35"/>
      <c r="AS142" s="35"/>
      <c r="AT142" s="35"/>
      <c r="AU142" s="35"/>
      <c r="AV142" s="35"/>
      <c r="AW142" s="35">
        <f t="shared" si="160"/>
        <v>33556</v>
      </c>
      <c r="AX142" s="35">
        <f t="shared" ref="AX142:AX152" si="207">+W142+AJ142+AW142</f>
        <v>100668</v>
      </c>
      <c r="AY142" s="35">
        <v>31850</v>
      </c>
      <c r="AZ142" s="35">
        <v>750</v>
      </c>
      <c r="BA142" s="35">
        <v>956</v>
      </c>
      <c r="BB142" s="35"/>
      <c r="BC142" s="35"/>
      <c r="BD142" s="35"/>
      <c r="BE142" s="35"/>
      <c r="BF142" s="35"/>
      <c r="BG142" s="35"/>
      <c r="BH142" s="35"/>
      <c r="BI142" s="35"/>
      <c r="BJ142" s="35"/>
      <c r="BK142" s="35">
        <f t="shared" si="162"/>
        <v>33556</v>
      </c>
      <c r="BL142" s="35">
        <v>31850</v>
      </c>
      <c r="BM142" s="35">
        <v>750</v>
      </c>
      <c r="BN142" s="35">
        <v>956</v>
      </c>
      <c r="BO142" s="35"/>
      <c r="BP142" s="35"/>
      <c r="BQ142" s="35"/>
      <c r="BR142" s="35"/>
      <c r="BS142" s="35"/>
      <c r="BT142" s="35"/>
      <c r="BU142" s="35"/>
      <c r="BV142" s="35"/>
      <c r="BW142" s="35"/>
      <c r="BX142" s="35">
        <f t="shared" si="99"/>
        <v>33556</v>
      </c>
      <c r="BY142" s="35">
        <v>31850</v>
      </c>
      <c r="BZ142" s="35">
        <v>750</v>
      </c>
      <c r="CA142" s="35">
        <v>956</v>
      </c>
      <c r="CB142" s="35"/>
      <c r="CC142" s="35"/>
      <c r="CD142" s="35"/>
      <c r="CE142" s="35"/>
      <c r="CF142" s="35"/>
      <c r="CG142" s="35"/>
      <c r="CH142" s="35"/>
      <c r="CI142" s="35"/>
      <c r="CJ142" s="35"/>
      <c r="CK142" s="35">
        <f t="shared" si="100"/>
        <v>33556</v>
      </c>
      <c r="CL142" s="35">
        <f t="shared" si="105"/>
        <v>100668</v>
      </c>
      <c r="CM142" s="35">
        <v>33450</v>
      </c>
      <c r="CN142" s="35">
        <v>750</v>
      </c>
      <c r="CO142" s="35">
        <v>1004</v>
      </c>
      <c r="CP142" s="35"/>
      <c r="CQ142" s="35"/>
      <c r="CR142" s="35"/>
      <c r="CS142" s="35"/>
      <c r="CT142" s="35"/>
      <c r="CU142" s="35"/>
      <c r="CV142" s="35"/>
      <c r="CW142" s="35"/>
      <c r="CX142" s="35"/>
      <c r="CY142" s="35">
        <f t="shared" si="106"/>
        <v>35204</v>
      </c>
      <c r="CZ142" s="35">
        <f>9600+33450</f>
        <v>43050</v>
      </c>
      <c r="DA142" s="35">
        <v>750</v>
      </c>
      <c r="DB142" s="35">
        <f>288+1004</f>
        <v>1292</v>
      </c>
      <c r="DC142" s="35"/>
      <c r="DD142" s="35"/>
      <c r="DE142" s="35"/>
      <c r="DF142" s="35"/>
      <c r="DG142" s="35"/>
      <c r="DH142" s="35"/>
      <c r="DI142" s="35"/>
      <c r="DJ142" s="35"/>
      <c r="DK142" s="35"/>
      <c r="DL142" s="35">
        <f t="shared" si="101"/>
        <v>45092</v>
      </c>
      <c r="DM142" s="35">
        <v>33450</v>
      </c>
      <c r="DN142" s="35">
        <v>750</v>
      </c>
      <c r="DO142" s="35">
        <v>1004</v>
      </c>
      <c r="DP142" s="35"/>
      <c r="DQ142" s="35"/>
      <c r="DR142" s="35"/>
      <c r="DS142" s="35"/>
      <c r="DT142" s="35"/>
      <c r="DU142" s="35"/>
      <c r="DV142" s="35"/>
      <c r="DW142" s="35"/>
      <c r="DX142" s="35"/>
      <c r="DY142" s="35">
        <f t="shared" si="107"/>
        <v>35204</v>
      </c>
      <c r="DZ142" s="35">
        <f t="shared" si="108"/>
        <v>115500</v>
      </c>
      <c r="EA142" s="35">
        <v>33450</v>
      </c>
      <c r="EB142" s="35">
        <v>750</v>
      </c>
      <c r="EC142" s="35">
        <v>1004</v>
      </c>
      <c r="ED142" s="35"/>
      <c r="EE142" s="35"/>
      <c r="EF142" s="35"/>
      <c r="EG142" s="35"/>
      <c r="EH142" s="35"/>
      <c r="EI142" s="35"/>
      <c r="EJ142" s="35"/>
      <c r="EK142" s="35"/>
      <c r="EL142" s="35"/>
      <c r="EM142" s="35">
        <f t="shared" si="109"/>
        <v>35204</v>
      </c>
      <c r="EN142" s="35">
        <v>33450</v>
      </c>
      <c r="EO142" s="35">
        <v>750</v>
      </c>
      <c r="EP142" s="35">
        <v>1004</v>
      </c>
      <c r="EQ142" s="35"/>
      <c r="ER142" s="35"/>
      <c r="ES142" s="35"/>
      <c r="ET142" s="35"/>
      <c r="EU142" s="35"/>
      <c r="EV142" s="35"/>
      <c r="EW142" s="35"/>
      <c r="EX142" s="35"/>
      <c r="EY142" s="35"/>
      <c r="EZ142" s="35">
        <f t="shared" si="102"/>
        <v>35204</v>
      </c>
      <c r="FA142" s="35">
        <v>33450</v>
      </c>
      <c r="FB142" s="35">
        <v>750</v>
      </c>
      <c r="FC142" s="35">
        <v>1004</v>
      </c>
      <c r="FD142" s="35"/>
      <c r="FE142" s="35"/>
      <c r="FF142" s="35"/>
      <c r="FG142" s="35"/>
      <c r="FH142" s="35"/>
      <c r="FI142" s="35"/>
      <c r="FJ142" s="35"/>
      <c r="FK142" s="35"/>
      <c r="FL142" s="35"/>
      <c r="FM142" s="35">
        <f t="shared" si="110"/>
        <v>35204</v>
      </c>
      <c r="FN142" s="35">
        <f t="shared" si="111"/>
        <v>105612</v>
      </c>
      <c r="FO142" s="35">
        <f t="shared" si="112"/>
        <v>422448</v>
      </c>
    </row>
    <row r="143" spans="1:171" x14ac:dyDescent="0.35">
      <c r="A143" s="34"/>
      <c r="B143" s="40"/>
      <c r="C143" s="58"/>
      <c r="D143" s="79" t="s">
        <v>280</v>
      </c>
      <c r="E143" s="58" t="s">
        <v>8</v>
      </c>
      <c r="F143" s="58" t="s">
        <v>17</v>
      </c>
      <c r="G143" s="58"/>
      <c r="H143" s="58"/>
      <c r="I143" s="58"/>
      <c r="J143" s="58"/>
      <c r="K143" s="35">
        <v>31860</v>
      </c>
      <c r="L143" s="35">
        <v>750</v>
      </c>
      <c r="M143" s="35">
        <v>956</v>
      </c>
      <c r="N143" s="35"/>
      <c r="O143" s="35"/>
      <c r="P143" s="35"/>
      <c r="Q143" s="35"/>
      <c r="R143" s="35"/>
      <c r="S143" s="35"/>
      <c r="T143" s="35"/>
      <c r="U143" s="35"/>
      <c r="V143" s="35"/>
      <c r="W143" s="35">
        <f t="shared" si="161"/>
        <v>33566</v>
      </c>
      <c r="X143" s="35">
        <v>31860</v>
      </c>
      <c r="Y143" s="35">
        <v>750</v>
      </c>
      <c r="Z143" s="35">
        <v>956</v>
      </c>
      <c r="AA143" s="35"/>
      <c r="AB143" s="35"/>
      <c r="AC143" s="35"/>
      <c r="AD143" s="35"/>
      <c r="AE143" s="35"/>
      <c r="AF143" s="35"/>
      <c r="AG143" s="35"/>
      <c r="AH143" s="35"/>
      <c r="AI143" s="35"/>
      <c r="AJ143" s="35">
        <f t="shared" si="159"/>
        <v>33566</v>
      </c>
      <c r="AK143" s="35">
        <v>31860</v>
      </c>
      <c r="AL143" s="35">
        <v>750</v>
      </c>
      <c r="AM143" s="35">
        <v>956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>
        <f t="shared" si="160"/>
        <v>33566</v>
      </c>
      <c r="AX143" s="35">
        <f t="shared" si="207"/>
        <v>100698</v>
      </c>
      <c r="AY143" s="35">
        <v>31860</v>
      </c>
      <c r="AZ143" s="35">
        <v>750</v>
      </c>
      <c r="BA143" s="35">
        <v>956</v>
      </c>
      <c r="BB143" s="35"/>
      <c r="BC143" s="35"/>
      <c r="BD143" s="35"/>
      <c r="BE143" s="35"/>
      <c r="BF143" s="35"/>
      <c r="BG143" s="35"/>
      <c r="BH143" s="35"/>
      <c r="BI143" s="35"/>
      <c r="BJ143" s="35"/>
      <c r="BK143" s="35">
        <f t="shared" si="162"/>
        <v>33566</v>
      </c>
      <c r="BL143" s="35">
        <v>31860</v>
      </c>
      <c r="BM143" s="35">
        <v>750</v>
      </c>
      <c r="BN143" s="35">
        <v>956</v>
      </c>
      <c r="BO143" s="35"/>
      <c r="BP143" s="35"/>
      <c r="BQ143" s="35"/>
      <c r="BR143" s="35"/>
      <c r="BS143" s="35"/>
      <c r="BT143" s="35"/>
      <c r="BU143" s="35"/>
      <c r="BV143" s="35"/>
      <c r="BW143" s="35"/>
      <c r="BX143" s="35">
        <f t="shared" si="99"/>
        <v>33566</v>
      </c>
      <c r="BY143" s="35">
        <v>31860</v>
      </c>
      <c r="BZ143" s="35">
        <v>750</v>
      </c>
      <c r="CA143" s="35">
        <v>956</v>
      </c>
      <c r="CB143" s="35"/>
      <c r="CC143" s="35"/>
      <c r="CD143" s="35"/>
      <c r="CE143" s="35"/>
      <c r="CF143" s="35"/>
      <c r="CG143" s="35"/>
      <c r="CH143" s="35"/>
      <c r="CI143" s="35"/>
      <c r="CJ143" s="35"/>
      <c r="CK143" s="35">
        <f t="shared" si="100"/>
        <v>33566</v>
      </c>
      <c r="CL143" s="35">
        <f t="shared" si="105"/>
        <v>100698</v>
      </c>
      <c r="CM143" s="35">
        <v>33460</v>
      </c>
      <c r="CN143" s="35">
        <v>750</v>
      </c>
      <c r="CO143" s="35">
        <v>1004</v>
      </c>
      <c r="CP143" s="35"/>
      <c r="CQ143" s="35"/>
      <c r="CR143" s="35"/>
      <c r="CS143" s="35"/>
      <c r="CT143" s="35"/>
      <c r="CU143" s="35"/>
      <c r="CV143" s="35"/>
      <c r="CW143" s="35"/>
      <c r="CX143" s="35"/>
      <c r="CY143" s="35">
        <f t="shared" si="106"/>
        <v>35214</v>
      </c>
      <c r="CZ143" s="35">
        <f>9600+33460</f>
        <v>43060</v>
      </c>
      <c r="DA143" s="35">
        <v>750</v>
      </c>
      <c r="DB143" s="35">
        <f>288+1004</f>
        <v>1292</v>
      </c>
      <c r="DC143" s="35"/>
      <c r="DD143" s="35"/>
      <c r="DE143" s="35"/>
      <c r="DF143" s="35"/>
      <c r="DG143" s="35"/>
      <c r="DH143" s="35"/>
      <c r="DI143" s="35"/>
      <c r="DJ143" s="35"/>
      <c r="DK143" s="35"/>
      <c r="DL143" s="35">
        <f t="shared" si="101"/>
        <v>45102</v>
      </c>
      <c r="DM143" s="35">
        <v>33460</v>
      </c>
      <c r="DN143" s="35">
        <v>750</v>
      </c>
      <c r="DO143" s="35">
        <v>1004</v>
      </c>
      <c r="DP143" s="35"/>
      <c r="DQ143" s="35"/>
      <c r="DR143" s="35"/>
      <c r="DS143" s="35"/>
      <c r="DT143" s="35"/>
      <c r="DU143" s="35"/>
      <c r="DV143" s="35"/>
      <c r="DW143" s="35"/>
      <c r="DX143" s="35"/>
      <c r="DY143" s="35">
        <f t="shared" si="107"/>
        <v>35214</v>
      </c>
      <c r="DZ143" s="35">
        <f t="shared" si="108"/>
        <v>115530</v>
      </c>
      <c r="EA143" s="35">
        <v>33460</v>
      </c>
      <c r="EB143" s="35">
        <v>750</v>
      </c>
      <c r="EC143" s="35">
        <v>1004</v>
      </c>
      <c r="ED143" s="35"/>
      <c r="EE143" s="35"/>
      <c r="EF143" s="35"/>
      <c r="EG143" s="35"/>
      <c r="EH143" s="35"/>
      <c r="EI143" s="35"/>
      <c r="EJ143" s="35"/>
      <c r="EK143" s="35"/>
      <c r="EL143" s="35"/>
      <c r="EM143" s="35">
        <f t="shared" si="109"/>
        <v>35214</v>
      </c>
      <c r="EN143" s="35">
        <v>33460</v>
      </c>
      <c r="EO143" s="35">
        <v>750</v>
      </c>
      <c r="EP143" s="35">
        <v>1004</v>
      </c>
      <c r="EQ143" s="35"/>
      <c r="ER143" s="35"/>
      <c r="ES143" s="35"/>
      <c r="ET143" s="35"/>
      <c r="EU143" s="35"/>
      <c r="EV143" s="35"/>
      <c r="EW143" s="35"/>
      <c r="EX143" s="35"/>
      <c r="EY143" s="35"/>
      <c r="EZ143" s="35">
        <f t="shared" si="102"/>
        <v>35214</v>
      </c>
      <c r="FA143" s="35">
        <v>33460</v>
      </c>
      <c r="FB143" s="35">
        <v>750</v>
      </c>
      <c r="FC143" s="35">
        <v>1004</v>
      </c>
      <c r="FD143" s="35"/>
      <c r="FE143" s="35"/>
      <c r="FF143" s="35"/>
      <c r="FG143" s="35"/>
      <c r="FH143" s="35"/>
      <c r="FI143" s="35"/>
      <c r="FJ143" s="35"/>
      <c r="FK143" s="35"/>
      <c r="FL143" s="35"/>
      <c r="FM143" s="35">
        <f t="shared" si="110"/>
        <v>35214</v>
      </c>
      <c r="FN143" s="35">
        <f t="shared" si="111"/>
        <v>105642</v>
      </c>
      <c r="FO143" s="35">
        <f t="shared" si="112"/>
        <v>422568</v>
      </c>
    </row>
    <row r="144" spans="1:171" x14ac:dyDescent="0.35">
      <c r="A144" s="34"/>
      <c r="B144" s="40"/>
      <c r="C144" s="58"/>
      <c r="D144" s="79" t="s">
        <v>219</v>
      </c>
      <c r="E144" s="58" t="s">
        <v>8</v>
      </c>
      <c r="F144" s="58" t="s">
        <v>18</v>
      </c>
      <c r="G144" s="58"/>
      <c r="H144" s="58"/>
      <c r="I144" s="58"/>
      <c r="J144" s="58"/>
      <c r="K144" s="35"/>
      <c r="L144" s="35"/>
      <c r="M144" s="35"/>
      <c r="N144" s="35"/>
      <c r="O144" s="35"/>
      <c r="P144" s="35"/>
      <c r="Q144" s="35">
        <v>31860</v>
      </c>
      <c r="R144" s="35">
        <v>750</v>
      </c>
      <c r="S144" s="35">
        <v>956</v>
      </c>
      <c r="T144" s="35"/>
      <c r="U144" s="35"/>
      <c r="V144" s="35"/>
      <c r="W144" s="35">
        <f t="shared" si="161"/>
        <v>33566</v>
      </c>
      <c r="X144" s="35"/>
      <c r="Y144" s="35"/>
      <c r="Z144" s="35"/>
      <c r="AA144" s="35"/>
      <c r="AB144" s="35"/>
      <c r="AC144" s="35"/>
      <c r="AD144" s="35">
        <v>31860</v>
      </c>
      <c r="AE144" s="35">
        <v>750</v>
      </c>
      <c r="AF144" s="35">
        <v>956</v>
      </c>
      <c r="AG144" s="35"/>
      <c r="AH144" s="35"/>
      <c r="AI144" s="35"/>
      <c r="AJ144" s="35">
        <f t="shared" si="159"/>
        <v>33566</v>
      </c>
      <c r="AK144" s="35"/>
      <c r="AL144" s="35"/>
      <c r="AM144" s="35"/>
      <c r="AN144" s="35"/>
      <c r="AO144" s="35"/>
      <c r="AP144" s="35"/>
      <c r="AQ144" s="35">
        <v>31860</v>
      </c>
      <c r="AR144" s="35">
        <v>750</v>
      </c>
      <c r="AS144" s="35">
        <v>956</v>
      </c>
      <c r="AT144" s="35"/>
      <c r="AU144" s="35"/>
      <c r="AV144" s="35"/>
      <c r="AW144" s="35">
        <f t="shared" si="160"/>
        <v>33566</v>
      </c>
      <c r="AX144" s="35">
        <f t="shared" si="207"/>
        <v>100698</v>
      </c>
      <c r="AY144" s="35"/>
      <c r="AZ144" s="35"/>
      <c r="BA144" s="35"/>
      <c r="BB144" s="35"/>
      <c r="BC144" s="35"/>
      <c r="BD144" s="35"/>
      <c r="BE144" s="35">
        <v>31860</v>
      </c>
      <c r="BF144" s="35">
        <v>750</v>
      </c>
      <c r="BG144" s="35">
        <v>956</v>
      </c>
      <c r="BH144" s="35"/>
      <c r="BI144" s="35"/>
      <c r="BJ144" s="35"/>
      <c r="BK144" s="35">
        <f t="shared" si="162"/>
        <v>33566</v>
      </c>
      <c r="BL144" s="35"/>
      <c r="BM144" s="35"/>
      <c r="BN144" s="35"/>
      <c r="BO144" s="35"/>
      <c r="BP144" s="35"/>
      <c r="BQ144" s="35"/>
      <c r="BR144" s="35">
        <v>31860</v>
      </c>
      <c r="BS144" s="35">
        <v>750</v>
      </c>
      <c r="BT144" s="35">
        <v>956</v>
      </c>
      <c r="BU144" s="35"/>
      <c r="BV144" s="35"/>
      <c r="BW144" s="35"/>
      <c r="BX144" s="35">
        <f t="shared" si="99"/>
        <v>33566</v>
      </c>
      <c r="BY144" s="35"/>
      <c r="BZ144" s="35"/>
      <c r="CA144" s="35"/>
      <c r="CB144" s="35"/>
      <c r="CC144" s="35"/>
      <c r="CD144" s="35"/>
      <c r="CE144" s="35">
        <v>31860</v>
      </c>
      <c r="CF144" s="35">
        <v>750</v>
      </c>
      <c r="CG144" s="35">
        <v>956</v>
      </c>
      <c r="CH144" s="35"/>
      <c r="CI144" s="35"/>
      <c r="CJ144" s="35"/>
      <c r="CK144" s="35">
        <f t="shared" si="100"/>
        <v>33566</v>
      </c>
      <c r="CL144" s="35">
        <f t="shared" si="105"/>
        <v>100698</v>
      </c>
      <c r="CM144" s="35"/>
      <c r="CN144" s="35"/>
      <c r="CO144" s="35"/>
      <c r="CP144" s="35"/>
      <c r="CQ144" s="35"/>
      <c r="CR144" s="35"/>
      <c r="CS144" s="35">
        <v>33460</v>
      </c>
      <c r="CT144" s="35">
        <v>750</v>
      </c>
      <c r="CU144" s="35">
        <v>1004</v>
      </c>
      <c r="CV144" s="35"/>
      <c r="CW144" s="35"/>
      <c r="CX144" s="35"/>
      <c r="CY144" s="35">
        <f t="shared" si="106"/>
        <v>35214</v>
      </c>
      <c r="CZ144" s="35"/>
      <c r="DA144" s="35"/>
      <c r="DB144" s="35"/>
      <c r="DC144" s="35"/>
      <c r="DD144" s="35"/>
      <c r="DE144" s="35"/>
      <c r="DF144" s="35">
        <f>9600+33460</f>
        <v>43060</v>
      </c>
      <c r="DG144" s="35">
        <v>750</v>
      </c>
      <c r="DH144" s="35">
        <f>288+1004</f>
        <v>1292</v>
      </c>
      <c r="DI144" s="35"/>
      <c r="DJ144" s="35"/>
      <c r="DK144" s="35"/>
      <c r="DL144" s="35">
        <f t="shared" si="101"/>
        <v>45102</v>
      </c>
      <c r="DM144" s="35"/>
      <c r="DN144" s="35"/>
      <c r="DO144" s="35"/>
      <c r="DP144" s="35"/>
      <c r="DQ144" s="35"/>
      <c r="DR144" s="35"/>
      <c r="DS144" s="35">
        <v>33460</v>
      </c>
      <c r="DT144" s="35">
        <v>750</v>
      </c>
      <c r="DU144" s="35">
        <v>1004</v>
      </c>
      <c r="DV144" s="35"/>
      <c r="DW144" s="35"/>
      <c r="DX144" s="35"/>
      <c r="DY144" s="35">
        <f t="shared" si="107"/>
        <v>35214</v>
      </c>
      <c r="DZ144" s="35">
        <f t="shared" si="108"/>
        <v>115530</v>
      </c>
      <c r="EA144" s="35"/>
      <c r="EB144" s="35"/>
      <c r="EC144" s="35"/>
      <c r="ED144" s="35"/>
      <c r="EE144" s="35"/>
      <c r="EF144" s="35"/>
      <c r="EG144" s="35">
        <v>33460</v>
      </c>
      <c r="EH144" s="35">
        <v>750</v>
      </c>
      <c r="EI144" s="35">
        <v>1004</v>
      </c>
      <c r="EJ144" s="35"/>
      <c r="EK144" s="35"/>
      <c r="EL144" s="35"/>
      <c r="EM144" s="35">
        <f t="shared" si="109"/>
        <v>35214</v>
      </c>
      <c r="EN144" s="35"/>
      <c r="EO144" s="35"/>
      <c r="EP144" s="35"/>
      <c r="EQ144" s="35"/>
      <c r="ER144" s="35"/>
      <c r="ES144" s="35"/>
      <c r="ET144" s="35">
        <v>33460</v>
      </c>
      <c r="EU144" s="35">
        <v>750</v>
      </c>
      <c r="EV144" s="35">
        <v>1004</v>
      </c>
      <c r="EW144" s="35"/>
      <c r="EX144" s="35"/>
      <c r="EY144" s="35"/>
      <c r="EZ144" s="35">
        <f t="shared" si="102"/>
        <v>35214</v>
      </c>
      <c r="FA144" s="35"/>
      <c r="FB144" s="35"/>
      <c r="FC144" s="35"/>
      <c r="FD144" s="35"/>
      <c r="FE144" s="35"/>
      <c r="FF144" s="35"/>
      <c r="FG144" s="35">
        <v>33460</v>
      </c>
      <c r="FH144" s="35">
        <v>750</v>
      </c>
      <c r="FI144" s="35">
        <v>1004</v>
      </c>
      <c r="FJ144" s="35"/>
      <c r="FK144" s="35"/>
      <c r="FL144" s="35"/>
      <c r="FM144" s="35">
        <f t="shared" si="110"/>
        <v>35214</v>
      </c>
      <c r="FN144" s="35">
        <f t="shared" si="111"/>
        <v>105642</v>
      </c>
      <c r="FO144" s="35">
        <f t="shared" si="112"/>
        <v>422568</v>
      </c>
    </row>
    <row r="145" spans="1:171" x14ac:dyDescent="0.35">
      <c r="A145" s="34"/>
      <c r="B145" s="40"/>
      <c r="C145" s="58"/>
      <c r="D145" s="79" t="s">
        <v>220</v>
      </c>
      <c r="E145" s="58" t="s">
        <v>9</v>
      </c>
      <c r="F145" s="58" t="s">
        <v>18</v>
      </c>
      <c r="G145" s="58"/>
      <c r="H145" s="58"/>
      <c r="I145" s="58"/>
      <c r="J145" s="58"/>
      <c r="K145" s="35"/>
      <c r="L145" s="35"/>
      <c r="M145" s="35"/>
      <c r="N145" s="35"/>
      <c r="O145" s="35"/>
      <c r="P145" s="35"/>
      <c r="Q145" s="35"/>
      <c r="R145" s="35"/>
      <c r="S145" s="35"/>
      <c r="T145" s="35">
        <v>23980</v>
      </c>
      <c r="U145" s="35">
        <v>750</v>
      </c>
      <c r="V145" s="35">
        <v>719</v>
      </c>
      <c r="W145" s="35">
        <f t="shared" si="161"/>
        <v>25449</v>
      </c>
      <c r="X145" s="35"/>
      <c r="Y145" s="35"/>
      <c r="Z145" s="35"/>
      <c r="AA145" s="35"/>
      <c r="AB145" s="35"/>
      <c r="AC145" s="35"/>
      <c r="AD145" s="35"/>
      <c r="AE145" s="35"/>
      <c r="AF145" s="35"/>
      <c r="AG145" s="35">
        <v>23980</v>
      </c>
      <c r="AH145" s="35">
        <v>750</v>
      </c>
      <c r="AI145" s="35">
        <v>719</v>
      </c>
      <c r="AJ145" s="35">
        <f t="shared" si="159"/>
        <v>25449</v>
      </c>
      <c r="AK145" s="35"/>
      <c r="AL145" s="35"/>
      <c r="AM145" s="35"/>
      <c r="AN145" s="35"/>
      <c r="AO145" s="35"/>
      <c r="AP145" s="35"/>
      <c r="AQ145" s="35"/>
      <c r="AR145" s="35"/>
      <c r="AS145" s="35"/>
      <c r="AT145" s="35">
        <v>23980</v>
      </c>
      <c r="AU145" s="35">
        <v>750</v>
      </c>
      <c r="AV145" s="35">
        <v>719</v>
      </c>
      <c r="AW145" s="35">
        <f t="shared" si="160"/>
        <v>25449</v>
      </c>
      <c r="AX145" s="35">
        <f t="shared" si="207"/>
        <v>76347</v>
      </c>
      <c r="AY145" s="35"/>
      <c r="AZ145" s="35"/>
      <c r="BA145" s="35"/>
      <c r="BB145" s="35"/>
      <c r="BC145" s="35"/>
      <c r="BD145" s="35"/>
      <c r="BE145" s="35"/>
      <c r="BF145" s="35"/>
      <c r="BG145" s="35"/>
      <c r="BH145" s="35">
        <v>23980</v>
      </c>
      <c r="BI145" s="35">
        <v>750</v>
      </c>
      <c r="BJ145" s="35">
        <v>719</v>
      </c>
      <c r="BK145" s="35">
        <f t="shared" si="162"/>
        <v>25449</v>
      </c>
      <c r="BL145" s="35"/>
      <c r="BM145" s="35"/>
      <c r="BN145" s="35"/>
      <c r="BO145" s="35"/>
      <c r="BP145" s="35"/>
      <c r="BQ145" s="35"/>
      <c r="BR145" s="35"/>
      <c r="BS145" s="35"/>
      <c r="BT145" s="35"/>
      <c r="BU145" s="35">
        <v>23980</v>
      </c>
      <c r="BV145" s="35">
        <v>750</v>
      </c>
      <c r="BW145" s="35">
        <v>719</v>
      </c>
      <c r="BX145" s="35">
        <f t="shared" si="99"/>
        <v>25449</v>
      </c>
      <c r="BY145" s="35"/>
      <c r="BZ145" s="35"/>
      <c r="CA145" s="35"/>
      <c r="CB145" s="35"/>
      <c r="CC145" s="35"/>
      <c r="CD145" s="35"/>
      <c r="CE145" s="35"/>
      <c r="CF145" s="35"/>
      <c r="CG145" s="35"/>
      <c r="CH145" s="35">
        <v>23980</v>
      </c>
      <c r="CI145" s="35">
        <v>750</v>
      </c>
      <c r="CJ145" s="35">
        <v>719</v>
      </c>
      <c r="CK145" s="35">
        <f t="shared" si="100"/>
        <v>25449</v>
      </c>
      <c r="CL145" s="35">
        <f t="shared" si="105"/>
        <v>76347</v>
      </c>
      <c r="CM145" s="35"/>
      <c r="CN145" s="35"/>
      <c r="CO145" s="35"/>
      <c r="CP145" s="35"/>
      <c r="CQ145" s="35"/>
      <c r="CR145" s="35"/>
      <c r="CS145" s="35"/>
      <c r="CT145" s="35"/>
      <c r="CU145" s="35"/>
      <c r="CV145" s="35">
        <v>25180</v>
      </c>
      <c r="CW145" s="35">
        <v>750</v>
      </c>
      <c r="CX145" s="35">
        <v>755</v>
      </c>
      <c r="CY145" s="35">
        <f t="shared" si="106"/>
        <v>26685</v>
      </c>
      <c r="CZ145" s="35"/>
      <c r="DA145" s="35"/>
      <c r="DB145" s="35"/>
      <c r="DC145" s="35"/>
      <c r="DD145" s="35"/>
      <c r="DE145" s="35"/>
      <c r="DF145" s="35"/>
      <c r="DG145" s="35"/>
      <c r="DH145" s="35"/>
      <c r="DI145" s="35">
        <f>7200+25180</f>
        <v>32380</v>
      </c>
      <c r="DJ145" s="35">
        <v>750</v>
      </c>
      <c r="DK145" s="35">
        <f>216+755</f>
        <v>971</v>
      </c>
      <c r="DL145" s="35">
        <f t="shared" si="101"/>
        <v>34101</v>
      </c>
      <c r="DM145" s="35"/>
      <c r="DN145" s="35"/>
      <c r="DO145" s="35"/>
      <c r="DP145" s="35"/>
      <c r="DQ145" s="35"/>
      <c r="DR145" s="35"/>
      <c r="DS145" s="35"/>
      <c r="DT145" s="35"/>
      <c r="DU145" s="35"/>
      <c r="DV145" s="35">
        <v>25180</v>
      </c>
      <c r="DW145" s="35">
        <v>750</v>
      </c>
      <c r="DX145" s="35">
        <v>755</v>
      </c>
      <c r="DY145" s="35">
        <f t="shared" si="107"/>
        <v>26685</v>
      </c>
      <c r="DZ145" s="35">
        <f t="shared" si="108"/>
        <v>87471</v>
      </c>
      <c r="EA145" s="35"/>
      <c r="EB145" s="35"/>
      <c r="EC145" s="35"/>
      <c r="ED145" s="35"/>
      <c r="EE145" s="35"/>
      <c r="EF145" s="35"/>
      <c r="EG145" s="35"/>
      <c r="EH145" s="35"/>
      <c r="EI145" s="35"/>
      <c r="EJ145" s="35">
        <v>25180</v>
      </c>
      <c r="EK145" s="35">
        <v>750</v>
      </c>
      <c r="EL145" s="35">
        <v>755</v>
      </c>
      <c r="EM145" s="35">
        <f t="shared" si="109"/>
        <v>26685</v>
      </c>
      <c r="EN145" s="35"/>
      <c r="EO145" s="35"/>
      <c r="EP145" s="35"/>
      <c r="EQ145" s="35"/>
      <c r="ER145" s="35"/>
      <c r="ES145" s="35"/>
      <c r="ET145" s="35"/>
      <c r="EU145" s="35"/>
      <c r="EV145" s="35"/>
      <c r="EW145" s="35">
        <v>25180</v>
      </c>
      <c r="EX145" s="35">
        <v>750</v>
      </c>
      <c r="EY145" s="35">
        <v>755</v>
      </c>
      <c r="EZ145" s="35">
        <f t="shared" si="102"/>
        <v>26685</v>
      </c>
      <c r="FA145" s="35"/>
      <c r="FB145" s="35"/>
      <c r="FC145" s="35"/>
      <c r="FD145" s="35"/>
      <c r="FE145" s="35"/>
      <c r="FF145" s="35"/>
      <c r="FG145" s="35"/>
      <c r="FH145" s="35"/>
      <c r="FI145" s="35"/>
      <c r="FJ145" s="35">
        <v>25180</v>
      </c>
      <c r="FK145" s="35">
        <v>750</v>
      </c>
      <c r="FL145" s="35">
        <v>755</v>
      </c>
      <c r="FM145" s="35">
        <f t="shared" si="110"/>
        <v>26685</v>
      </c>
      <c r="FN145" s="35">
        <f t="shared" si="111"/>
        <v>80055</v>
      </c>
      <c r="FO145" s="35">
        <f t="shared" si="112"/>
        <v>320220</v>
      </c>
    </row>
    <row r="146" spans="1:171" x14ac:dyDescent="0.35">
      <c r="A146" s="34"/>
      <c r="B146" s="40"/>
      <c r="C146" s="58"/>
      <c r="D146" s="79" t="s">
        <v>221</v>
      </c>
      <c r="E146" s="58" t="s">
        <v>8</v>
      </c>
      <c r="F146" s="58" t="s">
        <v>18</v>
      </c>
      <c r="G146" s="58"/>
      <c r="H146" s="58"/>
      <c r="I146" s="58"/>
      <c r="J146" s="58"/>
      <c r="K146" s="35"/>
      <c r="L146" s="35"/>
      <c r="M146" s="35"/>
      <c r="N146" s="35"/>
      <c r="O146" s="35"/>
      <c r="P146" s="35"/>
      <c r="Q146" s="35">
        <v>33120</v>
      </c>
      <c r="R146" s="35">
        <v>750</v>
      </c>
      <c r="S146" s="35">
        <v>0</v>
      </c>
      <c r="T146" s="35"/>
      <c r="U146" s="35"/>
      <c r="V146" s="35"/>
      <c r="W146" s="35">
        <f t="shared" si="161"/>
        <v>33870</v>
      </c>
      <c r="X146" s="35"/>
      <c r="Y146" s="35"/>
      <c r="Z146" s="35"/>
      <c r="AA146" s="35"/>
      <c r="AB146" s="35"/>
      <c r="AC146" s="35"/>
      <c r="AD146" s="35">
        <v>33120</v>
      </c>
      <c r="AE146" s="35">
        <v>750</v>
      </c>
      <c r="AF146" s="35">
        <v>0</v>
      </c>
      <c r="AG146" s="35"/>
      <c r="AH146" s="35"/>
      <c r="AI146" s="35"/>
      <c r="AJ146" s="35">
        <f t="shared" si="159"/>
        <v>33870</v>
      </c>
      <c r="AK146" s="35"/>
      <c r="AL146" s="35"/>
      <c r="AM146" s="35"/>
      <c r="AN146" s="35"/>
      <c r="AO146" s="35"/>
      <c r="AP146" s="35"/>
      <c r="AQ146" s="35">
        <v>33120</v>
      </c>
      <c r="AR146" s="35">
        <v>750</v>
      </c>
      <c r="AS146" s="35">
        <v>0</v>
      </c>
      <c r="AT146" s="35"/>
      <c r="AU146" s="35"/>
      <c r="AV146" s="35"/>
      <c r="AW146" s="35">
        <f t="shared" si="160"/>
        <v>33870</v>
      </c>
      <c r="AX146" s="35">
        <f t="shared" si="207"/>
        <v>101610</v>
      </c>
      <c r="AY146" s="35"/>
      <c r="AZ146" s="35"/>
      <c r="BA146" s="35"/>
      <c r="BB146" s="35"/>
      <c r="BC146" s="35"/>
      <c r="BD146" s="35"/>
      <c r="BE146" s="35">
        <v>33120</v>
      </c>
      <c r="BF146" s="35">
        <v>750</v>
      </c>
      <c r="BG146" s="35">
        <v>0</v>
      </c>
      <c r="BH146" s="35"/>
      <c r="BI146" s="35"/>
      <c r="BJ146" s="35"/>
      <c r="BK146" s="35">
        <f t="shared" si="162"/>
        <v>33870</v>
      </c>
      <c r="BL146" s="35"/>
      <c r="BM146" s="35"/>
      <c r="BN146" s="35"/>
      <c r="BO146" s="35"/>
      <c r="BP146" s="35"/>
      <c r="BQ146" s="35"/>
      <c r="BR146" s="35">
        <v>33120</v>
      </c>
      <c r="BS146" s="35">
        <v>750</v>
      </c>
      <c r="BT146" s="35">
        <v>0</v>
      </c>
      <c r="BU146" s="35"/>
      <c r="BV146" s="35"/>
      <c r="BW146" s="35"/>
      <c r="BX146" s="35">
        <f t="shared" ref="BX146" si="208">SUM(BL146:BW146)</f>
        <v>33870</v>
      </c>
      <c r="BY146" s="35"/>
      <c r="BZ146" s="35"/>
      <c r="CA146" s="35"/>
      <c r="CB146" s="35"/>
      <c r="CC146" s="35"/>
      <c r="CD146" s="35"/>
      <c r="CE146" s="35">
        <v>33120</v>
      </c>
      <c r="CF146" s="35">
        <v>750</v>
      </c>
      <c r="CG146" s="35">
        <v>0</v>
      </c>
      <c r="CH146" s="35"/>
      <c r="CI146" s="35"/>
      <c r="CJ146" s="35"/>
      <c r="CK146" s="35">
        <f t="shared" ref="CK146:CK152" si="209">SUM(BY146:CJ146)</f>
        <v>33870</v>
      </c>
      <c r="CL146" s="35">
        <f t="shared" si="105"/>
        <v>101610</v>
      </c>
      <c r="CM146" s="35"/>
      <c r="CN146" s="35"/>
      <c r="CO146" s="35"/>
      <c r="CP146" s="35"/>
      <c r="CQ146" s="35"/>
      <c r="CR146" s="35"/>
      <c r="CS146" s="35">
        <v>34780</v>
      </c>
      <c r="CT146" s="35">
        <v>750</v>
      </c>
      <c r="CU146" s="35">
        <v>0</v>
      </c>
      <c r="CV146" s="35"/>
      <c r="CW146" s="35"/>
      <c r="CX146" s="35"/>
      <c r="CY146" s="35">
        <f t="shared" si="106"/>
        <v>35530</v>
      </c>
      <c r="CZ146" s="35"/>
      <c r="DA146" s="35"/>
      <c r="DB146" s="35"/>
      <c r="DC146" s="35"/>
      <c r="DD146" s="35"/>
      <c r="DE146" s="35"/>
      <c r="DF146" s="35">
        <f>9960+34780</f>
        <v>44740</v>
      </c>
      <c r="DG146" s="35">
        <v>750</v>
      </c>
      <c r="DH146" s="35">
        <v>0</v>
      </c>
      <c r="DI146" s="35"/>
      <c r="DJ146" s="35"/>
      <c r="DK146" s="35"/>
      <c r="DL146" s="35">
        <f t="shared" ref="DL146:DL151" si="210">SUM(CZ146:DK146)</f>
        <v>45490</v>
      </c>
      <c r="DM146" s="35"/>
      <c r="DN146" s="35"/>
      <c r="DO146" s="35"/>
      <c r="DP146" s="35"/>
      <c r="DQ146" s="35"/>
      <c r="DR146" s="35"/>
      <c r="DS146" s="35">
        <v>34780</v>
      </c>
      <c r="DT146" s="35">
        <v>750</v>
      </c>
      <c r="DU146" s="35">
        <v>0</v>
      </c>
      <c r="DV146" s="35"/>
      <c r="DW146" s="35"/>
      <c r="DX146" s="35"/>
      <c r="DY146" s="35">
        <f t="shared" si="107"/>
        <v>35530</v>
      </c>
      <c r="DZ146" s="35">
        <f t="shared" si="108"/>
        <v>116550</v>
      </c>
      <c r="EA146" s="35"/>
      <c r="EB146" s="35"/>
      <c r="EC146" s="35"/>
      <c r="ED146" s="35"/>
      <c r="EE146" s="35"/>
      <c r="EF146" s="35"/>
      <c r="EG146" s="35">
        <v>34780</v>
      </c>
      <c r="EH146" s="35">
        <v>750</v>
      </c>
      <c r="EI146" s="35">
        <v>0</v>
      </c>
      <c r="EJ146" s="35"/>
      <c r="EK146" s="35"/>
      <c r="EL146" s="35"/>
      <c r="EM146" s="35">
        <f t="shared" si="109"/>
        <v>35530</v>
      </c>
      <c r="EN146" s="35"/>
      <c r="EO146" s="35"/>
      <c r="EP146" s="35"/>
      <c r="EQ146" s="35"/>
      <c r="ER146" s="35"/>
      <c r="ES146" s="35"/>
      <c r="ET146" s="35">
        <v>34780</v>
      </c>
      <c r="EU146" s="35">
        <v>750</v>
      </c>
      <c r="EV146" s="35">
        <v>0</v>
      </c>
      <c r="EW146" s="35"/>
      <c r="EX146" s="35"/>
      <c r="EY146" s="35"/>
      <c r="EZ146" s="35">
        <f t="shared" ref="EZ146:EZ151" si="211">SUM(EN146:EY146)</f>
        <v>35530</v>
      </c>
      <c r="FA146" s="35"/>
      <c r="FB146" s="35"/>
      <c r="FC146" s="35"/>
      <c r="FD146" s="35"/>
      <c r="FE146" s="35"/>
      <c r="FF146" s="35"/>
      <c r="FG146" s="35">
        <v>34780</v>
      </c>
      <c r="FH146" s="35">
        <v>750</v>
      </c>
      <c r="FI146" s="35">
        <v>0</v>
      </c>
      <c r="FJ146" s="35"/>
      <c r="FK146" s="35"/>
      <c r="FL146" s="35"/>
      <c r="FM146" s="35">
        <f t="shared" si="110"/>
        <v>35530</v>
      </c>
      <c r="FN146" s="35">
        <f t="shared" si="111"/>
        <v>106590</v>
      </c>
      <c r="FO146" s="35">
        <f t="shared" si="112"/>
        <v>426360</v>
      </c>
    </row>
    <row r="147" spans="1:171" x14ac:dyDescent="0.35">
      <c r="A147" s="34"/>
      <c r="B147" s="40"/>
      <c r="C147" s="58"/>
      <c r="D147" s="79" t="s">
        <v>222</v>
      </c>
      <c r="E147" s="58" t="s">
        <v>8</v>
      </c>
      <c r="F147" s="58" t="s">
        <v>17</v>
      </c>
      <c r="G147" s="58"/>
      <c r="H147" s="58"/>
      <c r="I147" s="58"/>
      <c r="J147" s="58"/>
      <c r="K147" s="35">
        <v>27300</v>
      </c>
      <c r="L147" s="35">
        <v>750</v>
      </c>
      <c r="M147" s="35">
        <v>819</v>
      </c>
      <c r="N147" s="35"/>
      <c r="O147" s="35"/>
      <c r="P147" s="35"/>
      <c r="Q147" s="35"/>
      <c r="R147" s="35"/>
      <c r="S147" s="35"/>
      <c r="T147" s="35"/>
      <c r="U147" s="35"/>
      <c r="V147" s="35"/>
      <c r="W147" s="35">
        <f t="shared" si="161"/>
        <v>28869</v>
      </c>
      <c r="X147" s="35">
        <v>27300</v>
      </c>
      <c r="Y147" s="35">
        <v>750</v>
      </c>
      <c r="Z147" s="35">
        <v>819</v>
      </c>
      <c r="AA147" s="35"/>
      <c r="AB147" s="35"/>
      <c r="AC147" s="35"/>
      <c r="AD147" s="35"/>
      <c r="AE147" s="35"/>
      <c r="AF147" s="35"/>
      <c r="AG147" s="35"/>
      <c r="AH147" s="35"/>
      <c r="AI147" s="35"/>
      <c r="AJ147" s="35">
        <f t="shared" si="159"/>
        <v>28869</v>
      </c>
      <c r="AK147" s="35">
        <v>27300</v>
      </c>
      <c r="AL147" s="35">
        <v>750</v>
      </c>
      <c r="AM147" s="35">
        <v>819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>
        <f t="shared" si="160"/>
        <v>28869</v>
      </c>
      <c r="AX147" s="35">
        <f t="shared" si="207"/>
        <v>86607</v>
      </c>
      <c r="AY147" s="35">
        <v>27300</v>
      </c>
      <c r="AZ147" s="35">
        <v>750</v>
      </c>
      <c r="BA147" s="35">
        <v>819</v>
      </c>
      <c r="BB147" s="35"/>
      <c r="BC147" s="35"/>
      <c r="BD147" s="35"/>
      <c r="BE147" s="35"/>
      <c r="BF147" s="35"/>
      <c r="BG147" s="35"/>
      <c r="BH147" s="35"/>
      <c r="BI147" s="35"/>
      <c r="BJ147" s="35"/>
      <c r="BK147" s="35">
        <f t="shared" si="162"/>
        <v>28869</v>
      </c>
      <c r="BL147" s="35">
        <v>27300</v>
      </c>
      <c r="BM147" s="35">
        <v>750</v>
      </c>
      <c r="BN147" s="35">
        <v>819</v>
      </c>
      <c r="BO147" s="35"/>
      <c r="BP147" s="35"/>
      <c r="BQ147" s="35"/>
      <c r="BR147" s="35"/>
      <c r="BS147" s="35"/>
      <c r="BT147" s="35"/>
      <c r="BU147" s="35"/>
      <c r="BV147" s="35"/>
      <c r="BW147" s="35"/>
      <c r="BX147" s="35">
        <f t="shared" ref="BX147:BX151" si="212">SUM(BL147:BW147)</f>
        <v>28869</v>
      </c>
      <c r="BY147" s="35">
        <v>27300</v>
      </c>
      <c r="BZ147" s="35">
        <v>750</v>
      </c>
      <c r="CA147" s="35">
        <v>819</v>
      </c>
      <c r="CB147" s="35"/>
      <c r="CC147" s="35"/>
      <c r="CD147" s="35"/>
      <c r="CE147" s="35"/>
      <c r="CF147" s="35"/>
      <c r="CG147" s="35"/>
      <c r="CH147" s="35"/>
      <c r="CI147" s="35"/>
      <c r="CJ147" s="35"/>
      <c r="CK147" s="35">
        <f t="shared" si="209"/>
        <v>28869</v>
      </c>
      <c r="CL147" s="35">
        <f t="shared" ref="CL147:CL151" si="213">+BK147+BX147+CK147</f>
        <v>86607</v>
      </c>
      <c r="CM147" s="35">
        <v>28670</v>
      </c>
      <c r="CN147" s="35">
        <v>750</v>
      </c>
      <c r="CO147" s="35">
        <v>860</v>
      </c>
      <c r="CP147" s="35"/>
      <c r="CQ147" s="35"/>
      <c r="CR147" s="35"/>
      <c r="CS147" s="35"/>
      <c r="CT147" s="35"/>
      <c r="CU147" s="35"/>
      <c r="CV147" s="35"/>
      <c r="CW147" s="35"/>
      <c r="CX147" s="35"/>
      <c r="CY147" s="35">
        <f t="shared" ref="CY147:CY151" si="214">SUM(CM147:CX147)</f>
        <v>30280</v>
      </c>
      <c r="CZ147" s="35">
        <f>8220+28670</f>
        <v>36890</v>
      </c>
      <c r="DA147" s="35">
        <v>750</v>
      </c>
      <c r="DB147" s="35">
        <f>246+860</f>
        <v>1106</v>
      </c>
      <c r="DC147" s="35"/>
      <c r="DD147" s="35"/>
      <c r="DE147" s="35"/>
      <c r="DF147" s="35"/>
      <c r="DG147" s="35"/>
      <c r="DH147" s="35"/>
      <c r="DI147" s="35"/>
      <c r="DJ147" s="35"/>
      <c r="DK147" s="35"/>
      <c r="DL147" s="35">
        <f t="shared" si="210"/>
        <v>38746</v>
      </c>
      <c r="DM147" s="35">
        <v>28670</v>
      </c>
      <c r="DN147" s="35">
        <v>750</v>
      </c>
      <c r="DO147" s="35">
        <v>860</v>
      </c>
      <c r="DP147" s="35"/>
      <c r="DQ147" s="35"/>
      <c r="DR147" s="35"/>
      <c r="DS147" s="35"/>
      <c r="DT147" s="35"/>
      <c r="DU147" s="35"/>
      <c r="DV147" s="35"/>
      <c r="DW147" s="35"/>
      <c r="DX147" s="35"/>
      <c r="DY147" s="35">
        <f t="shared" ref="DY147:DY152" si="215">SUM(DM147:DX147)</f>
        <v>30280</v>
      </c>
      <c r="DZ147" s="35">
        <f t="shared" ref="DZ147:DZ151" si="216">+CY147+DL147+DY147</f>
        <v>99306</v>
      </c>
      <c r="EA147" s="35">
        <v>28670</v>
      </c>
      <c r="EB147" s="35">
        <v>750</v>
      </c>
      <c r="EC147" s="35">
        <v>860</v>
      </c>
      <c r="ED147" s="35"/>
      <c r="EE147" s="35"/>
      <c r="EF147" s="35"/>
      <c r="EG147" s="35"/>
      <c r="EH147" s="35"/>
      <c r="EI147" s="35"/>
      <c r="EJ147" s="35"/>
      <c r="EK147" s="35"/>
      <c r="EL147" s="35"/>
      <c r="EM147" s="35">
        <f t="shared" ref="EM147:EM151" si="217">SUM(EA147:EL147)</f>
        <v>30280</v>
      </c>
      <c r="EN147" s="35">
        <v>28670</v>
      </c>
      <c r="EO147" s="35">
        <v>750</v>
      </c>
      <c r="EP147" s="35">
        <v>860</v>
      </c>
      <c r="EQ147" s="35"/>
      <c r="ER147" s="35"/>
      <c r="ES147" s="35"/>
      <c r="ET147" s="35"/>
      <c r="EU147" s="35"/>
      <c r="EV147" s="35"/>
      <c r="EW147" s="35"/>
      <c r="EX147" s="35"/>
      <c r="EY147" s="35"/>
      <c r="EZ147" s="35">
        <f t="shared" si="211"/>
        <v>30280</v>
      </c>
      <c r="FA147" s="35">
        <v>28670</v>
      </c>
      <c r="FB147" s="35">
        <v>750</v>
      </c>
      <c r="FC147" s="35">
        <v>860</v>
      </c>
      <c r="FD147" s="35"/>
      <c r="FE147" s="35"/>
      <c r="FF147" s="35"/>
      <c r="FG147" s="35"/>
      <c r="FH147" s="35"/>
      <c r="FI147" s="35"/>
      <c r="FJ147" s="35"/>
      <c r="FK147" s="35"/>
      <c r="FL147" s="35"/>
      <c r="FM147" s="35">
        <f t="shared" ref="FM147:FM152" si="218">SUM(FA147:FL147)</f>
        <v>30280</v>
      </c>
      <c r="FN147" s="35">
        <f t="shared" ref="FN147:FN151" si="219">+EM147+EZ147+FM147</f>
        <v>90840</v>
      </c>
      <c r="FO147" s="35">
        <f t="shared" ref="FO147:FO152" si="220">+AX147+CL147+DZ147+FN147</f>
        <v>363360</v>
      </c>
    </row>
    <row r="148" spans="1:171" x14ac:dyDescent="0.35">
      <c r="A148" s="34"/>
      <c r="B148" s="40"/>
      <c r="C148" s="58"/>
      <c r="D148" s="79" t="s">
        <v>266</v>
      </c>
      <c r="E148" s="58" t="s">
        <v>8</v>
      </c>
      <c r="F148" s="58" t="s">
        <v>17</v>
      </c>
      <c r="G148" s="58"/>
      <c r="H148" s="58"/>
      <c r="I148" s="58"/>
      <c r="J148" s="58"/>
      <c r="K148" s="35">
        <v>31500</v>
      </c>
      <c r="L148" s="35">
        <v>750</v>
      </c>
      <c r="M148" s="35">
        <v>0</v>
      </c>
      <c r="N148" s="35"/>
      <c r="O148" s="35"/>
      <c r="P148" s="35"/>
      <c r="Q148" s="35"/>
      <c r="R148" s="35"/>
      <c r="S148" s="35"/>
      <c r="T148" s="35"/>
      <c r="U148" s="35"/>
      <c r="V148" s="35"/>
      <c r="W148" s="35">
        <f t="shared" ref="W148:W150" si="221">SUM(K148:V148)</f>
        <v>32250</v>
      </c>
      <c r="X148" s="35">
        <v>31500</v>
      </c>
      <c r="Y148" s="35">
        <v>750</v>
      </c>
      <c r="Z148" s="35">
        <v>0</v>
      </c>
      <c r="AA148" s="35"/>
      <c r="AB148" s="35"/>
      <c r="AC148" s="35"/>
      <c r="AD148" s="35"/>
      <c r="AE148" s="35"/>
      <c r="AF148" s="35"/>
      <c r="AG148" s="35"/>
      <c r="AH148" s="35"/>
      <c r="AI148" s="35"/>
      <c r="AJ148" s="35">
        <f t="shared" ref="AJ148:AJ150" si="222">SUM(X148:AI148)</f>
        <v>32250</v>
      </c>
      <c r="AK148" s="35">
        <v>31500</v>
      </c>
      <c r="AL148" s="35">
        <v>750</v>
      </c>
      <c r="AM148" s="35">
        <v>0</v>
      </c>
      <c r="AN148" s="35"/>
      <c r="AO148" s="35"/>
      <c r="AP148" s="35"/>
      <c r="AQ148" s="35"/>
      <c r="AR148" s="35"/>
      <c r="AS148" s="35"/>
      <c r="AT148" s="35"/>
      <c r="AU148" s="35"/>
      <c r="AV148" s="35"/>
      <c r="AW148" s="35">
        <f t="shared" ref="AW148:AW150" si="223">SUM(AK148:AV148)</f>
        <v>32250</v>
      </c>
      <c r="AX148" s="35">
        <f t="shared" ref="AX148:AX150" si="224">+W148+AJ148+AW148</f>
        <v>96750</v>
      </c>
      <c r="AY148" s="35">
        <v>31500</v>
      </c>
      <c r="AZ148" s="35">
        <v>750</v>
      </c>
      <c r="BA148" s="35">
        <v>0</v>
      </c>
      <c r="BB148" s="35"/>
      <c r="BC148" s="35"/>
      <c r="BD148" s="35"/>
      <c r="BE148" s="35"/>
      <c r="BF148" s="35"/>
      <c r="BG148" s="35"/>
      <c r="BH148" s="35"/>
      <c r="BI148" s="35"/>
      <c r="BJ148" s="35"/>
      <c r="BK148" s="35">
        <f t="shared" ref="BK148:BK150" si="225">SUM(AY148:BJ148)</f>
        <v>32250</v>
      </c>
      <c r="BL148" s="35">
        <v>31500</v>
      </c>
      <c r="BM148" s="35">
        <v>750</v>
      </c>
      <c r="BN148" s="35">
        <v>0</v>
      </c>
      <c r="BO148" s="35"/>
      <c r="BP148" s="35"/>
      <c r="BQ148" s="35"/>
      <c r="BR148" s="35"/>
      <c r="BS148" s="35"/>
      <c r="BT148" s="35"/>
      <c r="BU148" s="35"/>
      <c r="BV148" s="35"/>
      <c r="BW148" s="35"/>
      <c r="BX148" s="35">
        <f t="shared" ref="BX148:BX150" si="226">SUM(BL148:BW148)</f>
        <v>32250</v>
      </c>
      <c r="BY148" s="35">
        <v>31500</v>
      </c>
      <c r="BZ148" s="35">
        <v>750</v>
      </c>
      <c r="CA148" s="35">
        <v>0</v>
      </c>
      <c r="CB148" s="35"/>
      <c r="CC148" s="35"/>
      <c r="CD148" s="35"/>
      <c r="CE148" s="35"/>
      <c r="CF148" s="35"/>
      <c r="CG148" s="35"/>
      <c r="CH148" s="35"/>
      <c r="CI148" s="35"/>
      <c r="CJ148" s="35"/>
      <c r="CK148" s="35">
        <f t="shared" ref="CK148:CK150" si="227">SUM(BY148:CJ148)</f>
        <v>32250</v>
      </c>
      <c r="CL148" s="35">
        <f t="shared" ref="CL148:CL150" si="228">+BK148+BX148+CK148</f>
        <v>96750</v>
      </c>
      <c r="CM148" s="35">
        <v>31500</v>
      </c>
      <c r="CN148" s="35">
        <v>750</v>
      </c>
      <c r="CO148" s="35">
        <f>945+945</f>
        <v>1890</v>
      </c>
      <c r="CP148" s="35"/>
      <c r="CQ148" s="35"/>
      <c r="CR148" s="35"/>
      <c r="CS148" s="35"/>
      <c r="CT148" s="35"/>
      <c r="CU148" s="35"/>
      <c r="CV148" s="35"/>
      <c r="CW148" s="35"/>
      <c r="CX148" s="35"/>
      <c r="CY148" s="35">
        <f t="shared" ref="CY148:CY150" si="229">SUM(CM148:CX148)</f>
        <v>34140</v>
      </c>
      <c r="CZ148" s="35">
        <v>31500</v>
      </c>
      <c r="DA148" s="35">
        <v>750</v>
      </c>
      <c r="DB148" s="35">
        <v>945</v>
      </c>
      <c r="DC148" s="35"/>
      <c r="DD148" s="35"/>
      <c r="DE148" s="35"/>
      <c r="DF148" s="35"/>
      <c r="DG148" s="35"/>
      <c r="DH148" s="35"/>
      <c r="DI148" s="35"/>
      <c r="DJ148" s="35"/>
      <c r="DK148" s="35"/>
      <c r="DL148" s="35">
        <f t="shared" ref="DL148:DL150" si="230">SUM(CZ148:DK148)</f>
        <v>33195</v>
      </c>
      <c r="DM148" s="35">
        <v>31500</v>
      </c>
      <c r="DN148" s="35">
        <v>750</v>
      </c>
      <c r="DO148" s="35">
        <v>945</v>
      </c>
      <c r="DP148" s="35"/>
      <c r="DQ148" s="35"/>
      <c r="DR148" s="35"/>
      <c r="DS148" s="35"/>
      <c r="DT148" s="35"/>
      <c r="DU148" s="35"/>
      <c r="DV148" s="35"/>
      <c r="DW148" s="35"/>
      <c r="DX148" s="35"/>
      <c r="DY148" s="35">
        <f t="shared" ref="DY148:DY150" si="231">SUM(DM148:DX148)</f>
        <v>33195</v>
      </c>
      <c r="DZ148" s="35">
        <f t="shared" ref="DZ148:DZ150" si="232">+CY148+DL148+DY148</f>
        <v>100530</v>
      </c>
      <c r="EA148" s="35">
        <v>31500</v>
      </c>
      <c r="EB148" s="35">
        <v>750</v>
      </c>
      <c r="EC148" s="35">
        <v>945</v>
      </c>
      <c r="ED148" s="35"/>
      <c r="EE148" s="35"/>
      <c r="EF148" s="35"/>
      <c r="EG148" s="35"/>
      <c r="EH148" s="35"/>
      <c r="EI148" s="35"/>
      <c r="EJ148" s="35"/>
      <c r="EK148" s="35"/>
      <c r="EL148" s="35"/>
      <c r="EM148" s="35">
        <f t="shared" ref="EM148:EM150" si="233">SUM(EA148:EL148)</f>
        <v>33195</v>
      </c>
      <c r="EN148" s="35">
        <v>31500</v>
      </c>
      <c r="EO148" s="35">
        <v>750</v>
      </c>
      <c r="EP148" s="35">
        <v>945</v>
      </c>
      <c r="EQ148" s="35"/>
      <c r="ER148" s="35"/>
      <c r="ES148" s="35"/>
      <c r="ET148" s="35"/>
      <c r="EU148" s="35"/>
      <c r="EV148" s="35"/>
      <c r="EW148" s="35"/>
      <c r="EX148" s="35"/>
      <c r="EY148" s="35"/>
      <c r="EZ148" s="35">
        <f t="shared" ref="EZ148:EZ150" si="234">SUM(EN148:EY148)</f>
        <v>33195</v>
      </c>
      <c r="FA148" s="35">
        <v>31500</v>
      </c>
      <c r="FB148" s="35">
        <v>750</v>
      </c>
      <c r="FC148" s="35">
        <v>945</v>
      </c>
      <c r="FD148" s="35"/>
      <c r="FE148" s="35"/>
      <c r="FF148" s="35"/>
      <c r="FG148" s="35"/>
      <c r="FH148" s="35"/>
      <c r="FI148" s="35"/>
      <c r="FJ148" s="35"/>
      <c r="FK148" s="35"/>
      <c r="FL148" s="35"/>
      <c r="FM148" s="35">
        <f t="shared" ref="FM148:FM150" si="235">SUM(FA148:FL148)</f>
        <v>33195</v>
      </c>
      <c r="FN148" s="35">
        <f t="shared" ref="FN148:FN150" si="236">+EM148+EZ148+FM148</f>
        <v>99585</v>
      </c>
      <c r="FO148" s="35">
        <f t="shared" ref="FO148:FO150" si="237">+AX148+CL148+DZ148+FN148</f>
        <v>393615</v>
      </c>
    </row>
    <row r="149" spans="1:171" x14ac:dyDescent="0.35">
      <c r="A149" s="34"/>
      <c r="B149" s="40"/>
      <c r="C149" s="58"/>
      <c r="D149" s="79" t="s">
        <v>267</v>
      </c>
      <c r="E149" s="58" t="s">
        <v>8</v>
      </c>
      <c r="F149" s="58" t="s">
        <v>18</v>
      </c>
      <c r="G149" s="58"/>
      <c r="H149" s="58"/>
      <c r="I149" s="58"/>
      <c r="J149" s="58"/>
      <c r="K149" s="35"/>
      <c r="L149" s="35"/>
      <c r="M149" s="35"/>
      <c r="N149" s="35"/>
      <c r="O149" s="35"/>
      <c r="P149" s="35"/>
      <c r="Q149" s="35">
        <v>31500</v>
      </c>
      <c r="R149" s="35">
        <v>750</v>
      </c>
      <c r="S149" s="35">
        <v>0</v>
      </c>
      <c r="T149" s="35"/>
      <c r="U149" s="35"/>
      <c r="V149" s="35"/>
      <c r="W149" s="35">
        <f t="shared" si="221"/>
        <v>32250</v>
      </c>
      <c r="X149" s="35"/>
      <c r="Y149" s="35"/>
      <c r="Z149" s="35"/>
      <c r="AA149" s="35"/>
      <c r="AB149" s="35"/>
      <c r="AC149" s="35"/>
      <c r="AD149" s="35">
        <v>31500</v>
      </c>
      <c r="AE149" s="35">
        <v>750</v>
      </c>
      <c r="AF149" s="35">
        <v>0</v>
      </c>
      <c r="AG149" s="35"/>
      <c r="AH149" s="35"/>
      <c r="AI149" s="35"/>
      <c r="AJ149" s="35">
        <f t="shared" si="222"/>
        <v>32250</v>
      </c>
      <c r="AK149" s="35"/>
      <c r="AL149" s="35"/>
      <c r="AM149" s="35"/>
      <c r="AN149" s="35"/>
      <c r="AO149" s="35"/>
      <c r="AP149" s="35"/>
      <c r="AQ149" s="35">
        <v>31500</v>
      </c>
      <c r="AR149" s="35">
        <v>750</v>
      </c>
      <c r="AS149" s="35">
        <v>0</v>
      </c>
      <c r="AT149" s="35"/>
      <c r="AU149" s="35"/>
      <c r="AV149" s="35"/>
      <c r="AW149" s="35">
        <f t="shared" si="223"/>
        <v>32250</v>
      </c>
      <c r="AX149" s="35">
        <f t="shared" si="224"/>
        <v>96750</v>
      </c>
      <c r="AY149" s="35"/>
      <c r="AZ149" s="35"/>
      <c r="BA149" s="35"/>
      <c r="BB149" s="35"/>
      <c r="BC149" s="35"/>
      <c r="BD149" s="35"/>
      <c r="BE149" s="35">
        <v>31500</v>
      </c>
      <c r="BF149" s="35">
        <v>750</v>
      </c>
      <c r="BG149" s="35">
        <v>0</v>
      </c>
      <c r="BH149" s="35"/>
      <c r="BI149" s="35"/>
      <c r="BJ149" s="35"/>
      <c r="BK149" s="35">
        <f t="shared" si="225"/>
        <v>32250</v>
      </c>
      <c r="BL149" s="35"/>
      <c r="BM149" s="35"/>
      <c r="BN149" s="35"/>
      <c r="BO149" s="35"/>
      <c r="BP149" s="35"/>
      <c r="BQ149" s="35"/>
      <c r="BR149" s="35">
        <v>31500</v>
      </c>
      <c r="BS149" s="35">
        <v>750</v>
      </c>
      <c r="BT149" s="35">
        <v>0</v>
      </c>
      <c r="BU149" s="35"/>
      <c r="BV149" s="35"/>
      <c r="BW149" s="35"/>
      <c r="BX149" s="35">
        <f t="shared" si="226"/>
        <v>32250</v>
      </c>
      <c r="BY149" s="35"/>
      <c r="BZ149" s="35"/>
      <c r="CA149" s="35"/>
      <c r="CB149" s="35"/>
      <c r="CC149" s="35"/>
      <c r="CD149" s="35"/>
      <c r="CE149" s="35">
        <v>31500</v>
      </c>
      <c r="CF149" s="35">
        <v>750</v>
      </c>
      <c r="CG149" s="35">
        <v>0</v>
      </c>
      <c r="CH149" s="35"/>
      <c r="CI149" s="35"/>
      <c r="CJ149" s="35"/>
      <c r="CK149" s="35">
        <f t="shared" si="227"/>
        <v>32250</v>
      </c>
      <c r="CL149" s="35">
        <f t="shared" si="228"/>
        <v>96750</v>
      </c>
      <c r="CM149" s="35"/>
      <c r="CN149" s="35"/>
      <c r="CO149" s="35"/>
      <c r="CP149" s="35"/>
      <c r="CQ149" s="35"/>
      <c r="CR149" s="35"/>
      <c r="CS149" s="35">
        <v>31500</v>
      </c>
      <c r="CT149" s="35">
        <v>750</v>
      </c>
      <c r="CU149" s="35">
        <v>0</v>
      </c>
      <c r="CV149" s="35"/>
      <c r="CW149" s="35"/>
      <c r="CX149" s="35"/>
      <c r="CY149" s="35">
        <f t="shared" si="229"/>
        <v>32250</v>
      </c>
      <c r="CZ149" s="35"/>
      <c r="DA149" s="35"/>
      <c r="DB149" s="35"/>
      <c r="DC149" s="35"/>
      <c r="DD149" s="35"/>
      <c r="DE149" s="35"/>
      <c r="DF149" s="35">
        <v>31500</v>
      </c>
      <c r="DG149" s="35">
        <v>750</v>
      </c>
      <c r="DH149" s="35">
        <v>0</v>
      </c>
      <c r="DI149" s="35"/>
      <c r="DJ149" s="35"/>
      <c r="DK149" s="35"/>
      <c r="DL149" s="35">
        <f t="shared" si="230"/>
        <v>32250</v>
      </c>
      <c r="DM149" s="35"/>
      <c r="DN149" s="35"/>
      <c r="DO149" s="35"/>
      <c r="DP149" s="35"/>
      <c r="DQ149" s="35"/>
      <c r="DR149" s="35"/>
      <c r="DS149" s="35">
        <v>31500</v>
      </c>
      <c r="DT149" s="35">
        <v>750</v>
      </c>
      <c r="DU149" s="35">
        <v>0</v>
      </c>
      <c r="DV149" s="35"/>
      <c r="DW149" s="35"/>
      <c r="DX149" s="35"/>
      <c r="DY149" s="35">
        <f t="shared" si="231"/>
        <v>32250</v>
      </c>
      <c r="DZ149" s="35">
        <f t="shared" si="232"/>
        <v>96750</v>
      </c>
      <c r="EA149" s="35"/>
      <c r="EB149" s="35"/>
      <c r="EC149" s="35"/>
      <c r="ED149" s="35"/>
      <c r="EE149" s="35"/>
      <c r="EF149" s="35"/>
      <c r="EG149" s="35">
        <v>31500</v>
      </c>
      <c r="EH149" s="35">
        <v>750</v>
      </c>
      <c r="EI149" s="35">
        <v>0</v>
      </c>
      <c r="EJ149" s="35"/>
      <c r="EK149" s="35"/>
      <c r="EL149" s="35"/>
      <c r="EM149" s="35">
        <f t="shared" si="233"/>
        <v>32250</v>
      </c>
      <c r="EN149" s="35"/>
      <c r="EO149" s="35"/>
      <c r="EP149" s="35"/>
      <c r="EQ149" s="35"/>
      <c r="ER149" s="35"/>
      <c r="ES149" s="35"/>
      <c r="ET149" s="35">
        <v>31500</v>
      </c>
      <c r="EU149" s="35">
        <v>750</v>
      </c>
      <c r="EV149" s="35">
        <v>0</v>
      </c>
      <c r="EW149" s="35"/>
      <c r="EX149" s="35"/>
      <c r="EY149" s="35"/>
      <c r="EZ149" s="35">
        <f t="shared" si="234"/>
        <v>32250</v>
      </c>
      <c r="FA149" s="35"/>
      <c r="FB149" s="35"/>
      <c r="FC149" s="35"/>
      <c r="FD149" s="35"/>
      <c r="FE149" s="35"/>
      <c r="FF149" s="35"/>
      <c r="FG149" s="35">
        <v>31500</v>
      </c>
      <c r="FH149" s="35">
        <v>750</v>
      </c>
      <c r="FI149" s="35">
        <v>0</v>
      </c>
      <c r="FJ149" s="35"/>
      <c r="FK149" s="35"/>
      <c r="FL149" s="35"/>
      <c r="FM149" s="35">
        <f t="shared" si="235"/>
        <v>32250</v>
      </c>
      <c r="FN149" s="35">
        <f t="shared" si="236"/>
        <v>96750</v>
      </c>
      <c r="FO149" s="35">
        <f t="shared" si="237"/>
        <v>387000</v>
      </c>
    </row>
    <row r="150" spans="1:171" x14ac:dyDescent="0.35">
      <c r="A150" s="34"/>
      <c r="B150" s="40"/>
      <c r="C150" s="58"/>
      <c r="D150" s="79" t="s">
        <v>268</v>
      </c>
      <c r="E150" s="58" t="s">
        <v>8</v>
      </c>
      <c r="F150" s="58" t="s">
        <v>18</v>
      </c>
      <c r="G150" s="58" t="s">
        <v>362</v>
      </c>
      <c r="H150" s="58"/>
      <c r="I150" s="58">
        <f>15991.94+27000</f>
        <v>42991.94</v>
      </c>
      <c r="J150" s="58"/>
      <c r="K150" s="35"/>
      <c r="L150" s="35"/>
      <c r="M150" s="35"/>
      <c r="N150" s="35"/>
      <c r="O150" s="35"/>
      <c r="P150" s="35"/>
      <c r="Q150" s="35">
        <f>15241.94+26250+26250</f>
        <v>67741.94</v>
      </c>
      <c r="R150" s="35">
        <f>750+750+750</f>
        <v>2250</v>
      </c>
      <c r="S150" s="35"/>
      <c r="T150" s="35"/>
      <c r="U150" s="35"/>
      <c r="V150" s="35"/>
      <c r="W150" s="35">
        <f t="shared" si="221"/>
        <v>69991.94</v>
      </c>
      <c r="X150" s="35"/>
      <c r="Y150" s="35"/>
      <c r="Z150" s="35"/>
      <c r="AA150" s="35"/>
      <c r="AB150" s="35"/>
      <c r="AC150" s="35"/>
      <c r="AD150" s="35">
        <v>26250</v>
      </c>
      <c r="AE150" s="35">
        <f>750</f>
        <v>750</v>
      </c>
      <c r="AF150" s="35"/>
      <c r="AG150" s="35"/>
      <c r="AH150" s="35"/>
      <c r="AI150" s="35"/>
      <c r="AJ150" s="35">
        <f t="shared" si="222"/>
        <v>27000</v>
      </c>
      <c r="AK150" s="35"/>
      <c r="AL150" s="35"/>
      <c r="AM150" s="35"/>
      <c r="AN150" s="35"/>
      <c r="AO150" s="35"/>
      <c r="AP150" s="35"/>
      <c r="AQ150" s="35">
        <v>26250</v>
      </c>
      <c r="AR150" s="35">
        <f>750</f>
        <v>750</v>
      </c>
      <c r="AS150" s="35"/>
      <c r="AT150" s="35"/>
      <c r="AU150" s="35"/>
      <c r="AV150" s="35"/>
      <c r="AW150" s="35">
        <f t="shared" si="223"/>
        <v>27000</v>
      </c>
      <c r="AX150" s="35">
        <f t="shared" si="224"/>
        <v>123991.94</v>
      </c>
      <c r="AY150" s="35"/>
      <c r="AZ150" s="35"/>
      <c r="BA150" s="35"/>
      <c r="BB150" s="35"/>
      <c r="BC150" s="35"/>
      <c r="BD150" s="35"/>
      <c r="BE150" s="35">
        <v>26250</v>
      </c>
      <c r="BF150" s="35">
        <v>750</v>
      </c>
      <c r="BG150" s="35">
        <v>0</v>
      </c>
      <c r="BH150" s="35"/>
      <c r="BI150" s="35"/>
      <c r="BJ150" s="35"/>
      <c r="BK150" s="35">
        <f t="shared" si="225"/>
        <v>27000</v>
      </c>
      <c r="BL150" s="35"/>
      <c r="BM150" s="35"/>
      <c r="BN150" s="35"/>
      <c r="BO150" s="35"/>
      <c r="BP150" s="35"/>
      <c r="BQ150" s="35"/>
      <c r="BR150" s="35">
        <v>26250</v>
      </c>
      <c r="BS150" s="35">
        <v>750</v>
      </c>
      <c r="BT150" s="35">
        <v>0</v>
      </c>
      <c r="BU150" s="35"/>
      <c r="BV150" s="35"/>
      <c r="BW150" s="35"/>
      <c r="BX150" s="35">
        <f t="shared" si="226"/>
        <v>27000</v>
      </c>
      <c r="BY150" s="35"/>
      <c r="BZ150" s="35"/>
      <c r="CA150" s="35"/>
      <c r="CB150" s="35"/>
      <c r="CC150" s="35"/>
      <c r="CD150" s="35"/>
      <c r="CE150" s="35">
        <v>26250</v>
      </c>
      <c r="CF150" s="35">
        <v>750</v>
      </c>
      <c r="CG150" s="35">
        <v>0</v>
      </c>
      <c r="CH150" s="35"/>
      <c r="CI150" s="35"/>
      <c r="CJ150" s="35"/>
      <c r="CK150" s="35">
        <f t="shared" si="227"/>
        <v>27000</v>
      </c>
      <c r="CL150" s="35">
        <f t="shared" si="228"/>
        <v>81000</v>
      </c>
      <c r="CM150" s="35"/>
      <c r="CN150" s="35"/>
      <c r="CO150" s="35"/>
      <c r="CP150" s="35"/>
      <c r="CQ150" s="35"/>
      <c r="CR150" s="35"/>
      <c r="CS150" s="35">
        <v>26250</v>
      </c>
      <c r="CT150" s="35">
        <v>750</v>
      </c>
      <c r="CU150" s="35">
        <v>0</v>
      </c>
      <c r="CV150" s="35"/>
      <c r="CW150" s="35"/>
      <c r="CX150" s="35"/>
      <c r="CY150" s="35">
        <f t="shared" si="229"/>
        <v>27000</v>
      </c>
      <c r="CZ150" s="35"/>
      <c r="DA150" s="35"/>
      <c r="DB150" s="35"/>
      <c r="DC150" s="35"/>
      <c r="DD150" s="35"/>
      <c r="DE150" s="35"/>
      <c r="DF150" s="35">
        <v>26250</v>
      </c>
      <c r="DG150" s="35">
        <v>750</v>
      </c>
      <c r="DH150" s="35">
        <v>0</v>
      </c>
      <c r="DI150" s="35"/>
      <c r="DJ150" s="35"/>
      <c r="DK150" s="35"/>
      <c r="DL150" s="35">
        <f t="shared" si="230"/>
        <v>27000</v>
      </c>
      <c r="DM150" s="35"/>
      <c r="DN150" s="35"/>
      <c r="DO150" s="35"/>
      <c r="DP150" s="35"/>
      <c r="DQ150" s="35"/>
      <c r="DR150" s="35"/>
      <c r="DS150" s="35">
        <v>26250</v>
      </c>
      <c r="DT150" s="35">
        <v>750</v>
      </c>
      <c r="DU150" s="35">
        <v>0</v>
      </c>
      <c r="DV150" s="35"/>
      <c r="DW150" s="35"/>
      <c r="DX150" s="35"/>
      <c r="DY150" s="35">
        <f t="shared" si="231"/>
        <v>27000</v>
      </c>
      <c r="DZ150" s="35">
        <f t="shared" si="232"/>
        <v>81000</v>
      </c>
      <c r="EA150" s="35"/>
      <c r="EB150" s="35"/>
      <c r="EC150" s="35"/>
      <c r="ED150" s="35"/>
      <c r="EE150" s="35"/>
      <c r="EF150" s="35"/>
      <c r="EG150" s="35">
        <v>26250</v>
      </c>
      <c r="EH150" s="35">
        <v>750</v>
      </c>
      <c r="EI150" s="35">
        <v>0</v>
      </c>
      <c r="EJ150" s="35"/>
      <c r="EK150" s="35"/>
      <c r="EL150" s="35"/>
      <c r="EM150" s="35">
        <f t="shared" si="233"/>
        <v>27000</v>
      </c>
      <c r="EN150" s="35"/>
      <c r="EO150" s="35"/>
      <c r="EP150" s="35"/>
      <c r="EQ150" s="35"/>
      <c r="ER150" s="35"/>
      <c r="ES150" s="35"/>
      <c r="ET150" s="35">
        <v>26250</v>
      </c>
      <c r="EU150" s="35">
        <v>750</v>
      </c>
      <c r="EV150" s="35">
        <v>0</v>
      </c>
      <c r="EW150" s="35"/>
      <c r="EX150" s="35"/>
      <c r="EY150" s="35"/>
      <c r="EZ150" s="35">
        <f t="shared" si="234"/>
        <v>27000</v>
      </c>
      <c r="FA150" s="35"/>
      <c r="FB150" s="35"/>
      <c r="FC150" s="35"/>
      <c r="FD150" s="35"/>
      <c r="FE150" s="35"/>
      <c r="FF150" s="35"/>
      <c r="FG150" s="35">
        <v>26250</v>
      </c>
      <c r="FH150" s="35">
        <v>750</v>
      </c>
      <c r="FI150" s="35">
        <v>0</v>
      </c>
      <c r="FJ150" s="35"/>
      <c r="FK150" s="35"/>
      <c r="FL150" s="35"/>
      <c r="FM150" s="35">
        <f t="shared" si="235"/>
        <v>27000</v>
      </c>
      <c r="FN150" s="35">
        <f t="shared" si="236"/>
        <v>81000</v>
      </c>
      <c r="FO150" s="35">
        <f t="shared" si="237"/>
        <v>366991.94</v>
      </c>
    </row>
    <row r="151" spans="1:171" x14ac:dyDescent="0.35">
      <c r="A151" s="34"/>
      <c r="B151" s="40"/>
      <c r="C151" s="58"/>
      <c r="D151" s="41"/>
      <c r="E151" s="58"/>
      <c r="F151" s="58"/>
      <c r="G151" s="58"/>
      <c r="H151" s="58"/>
      <c r="I151" s="58"/>
      <c r="J151" s="58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>
        <f t="shared" si="161"/>
        <v>0</v>
      </c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>
        <f t="shared" si="159"/>
        <v>0</v>
      </c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>
        <f t="shared" si="160"/>
        <v>0</v>
      </c>
      <c r="AX151" s="35">
        <f t="shared" si="207"/>
        <v>0</v>
      </c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>
        <f t="shared" si="162"/>
        <v>0</v>
      </c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>
        <f t="shared" si="212"/>
        <v>0</v>
      </c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>
        <f t="shared" si="209"/>
        <v>0</v>
      </c>
      <c r="CL151" s="35">
        <f t="shared" si="213"/>
        <v>0</v>
      </c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>
        <f t="shared" si="214"/>
        <v>0</v>
      </c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>
        <f t="shared" si="210"/>
        <v>0</v>
      </c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>
        <f t="shared" si="215"/>
        <v>0</v>
      </c>
      <c r="DZ151" s="35">
        <f t="shared" si="216"/>
        <v>0</v>
      </c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>
        <f t="shared" si="217"/>
        <v>0</v>
      </c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>
        <f t="shared" si="211"/>
        <v>0</v>
      </c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>
        <f t="shared" si="218"/>
        <v>0</v>
      </c>
      <c r="FN151" s="35">
        <f t="shared" si="219"/>
        <v>0</v>
      </c>
      <c r="FO151" s="35">
        <f t="shared" si="220"/>
        <v>0</v>
      </c>
    </row>
    <row r="152" spans="1:171" x14ac:dyDescent="0.35">
      <c r="A152" s="48"/>
      <c r="B152" s="49" t="s">
        <v>27</v>
      </c>
      <c r="C152" s="59"/>
      <c r="D152" s="50"/>
      <c r="E152" s="59"/>
      <c r="F152" s="59"/>
      <c r="G152" s="59"/>
      <c r="H152" s="59"/>
      <c r="I152" s="59"/>
      <c r="J152" s="59"/>
      <c r="K152" s="51">
        <f>SUM(K131:K151)</f>
        <v>293280</v>
      </c>
      <c r="L152" s="51">
        <f t="shared" ref="L152:V152" si="238">SUM(L131:L151)</f>
        <v>6750</v>
      </c>
      <c r="M152" s="51">
        <f t="shared" si="238"/>
        <v>7854</v>
      </c>
      <c r="N152" s="51">
        <f t="shared" si="238"/>
        <v>48950</v>
      </c>
      <c r="O152" s="51">
        <f t="shared" si="238"/>
        <v>1500</v>
      </c>
      <c r="P152" s="51">
        <f t="shared" si="238"/>
        <v>1468</v>
      </c>
      <c r="Q152" s="51">
        <f t="shared" si="238"/>
        <v>263801.94</v>
      </c>
      <c r="R152" s="51">
        <f t="shared" si="238"/>
        <v>6750</v>
      </c>
      <c r="S152" s="51">
        <f>SUM(S131:S151)</f>
        <v>3944</v>
      </c>
      <c r="T152" s="51">
        <f t="shared" si="238"/>
        <v>48460</v>
      </c>
      <c r="U152" s="51">
        <f t="shared" si="238"/>
        <v>1500</v>
      </c>
      <c r="V152" s="51">
        <f t="shared" si="238"/>
        <v>1453</v>
      </c>
      <c r="W152" s="51">
        <f t="shared" si="161"/>
        <v>685710.94</v>
      </c>
      <c r="X152" s="51">
        <f>SUM(X131:X151)</f>
        <v>293280</v>
      </c>
      <c r="Y152" s="51">
        <f t="shared" ref="Y152:AI152" si="239">SUM(Y131:Y151)</f>
        <v>6750</v>
      </c>
      <c r="Z152" s="51">
        <f t="shared" si="239"/>
        <v>7854</v>
      </c>
      <c r="AA152" s="51">
        <f t="shared" si="239"/>
        <v>48950</v>
      </c>
      <c r="AB152" s="51">
        <f t="shared" si="239"/>
        <v>1500</v>
      </c>
      <c r="AC152" s="51">
        <f t="shared" si="239"/>
        <v>1468</v>
      </c>
      <c r="AD152" s="51">
        <f t="shared" si="239"/>
        <v>222310</v>
      </c>
      <c r="AE152" s="51">
        <f t="shared" si="239"/>
        <v>5250</v>
      </c>
      <c r="AF152" s="51">
        <f t="shared" si="239"/>
        <v>3944</v>
      </c>
      <c r="AG152" s="51">
        <f t="shared" si="239"/>
        <v>48460</v>
      </c>
      <c r="AH152" s="51">
        <f t="shared" si="239"/>
        <v>1500</v>
      </c>
      <c r="AI152" s="51">
        <f t="shared" si="239"/>
        <v>1453</v>
      </c>
      <c r="AJ152" s="51">
        <f t="shared" si="159"/>
        <v>642719</v>
      </c>
      <c r="AK152" s="51">
        <f>SUM(AK131:AK151)</f>
        <v>293280</v>
      </c>
      <c r="AL152" s="51">
        <f t="shared" ref="AL152:AV152" si="240">SUM(AL131:AL151)</f>
        <v>6750</v>
      </c>
      <c r="AM152" s="51">
        <f t="shared" si="240"/>
        <v>7854</v>
      </c>
      <c r="AN152" s="51">
        <f t="shared" si="240"/>
        <v>48950</v>
      </c>
      <c r="AO152" s="51">
        <f t="shared" si="240"/>
        <v>1500</v>
      </c>
      <c r="AP152" s="51">
        <f t="shared" si="240"/>
        <v>1468</v>
      </c>
      <c r="AQ152" s="51">
        <f t="shared" si="240"/>
        <v>222310</v>
      </c>
      <c r="AR152" s="51">
        <f t="shared" si="240"/>
        <v>5250</v>
      </c>
      <c r="AS152" s="51">
        <f t="shared" si="240"/>
        <v>3944</v>
      </c>
      <c r="AT152" s="51">
        <f t="shared" si="240"/>
        <v>48460</v>
      </c>
      <c r="AU152" s="51">
        <f t="shared" si="240"/>
        <v>1500</v>
      </c>
      <c r="AV152" s="51">
        <f t="shared" si="240"/>
        <v>1453</v>
      </c>
      <c r="AW152" s="51">
        <f t="shared" si="160"/>
        <v>642719</v>
      </c>
      <c r="AX152" s="51">
        <f t="shared" si="207"/>
        <v>1971148.94</v>
      </c>
      <c r="AY152" s="51">
        <f>SUM(AY131:AY151)</f>
        <v>293280</v>
      </c>
      <c r="AZ152" s="51">
        <f t="shared" ref="AZ152:BJ152" si="241">SUM(AZ131:AZ151)</f>
        <v>6750</v>
      </c>
      <c r="BA152" s="51">
        <f t="shared" si="241"/>
        <v>7854</v>
      </c>
      <c r="BB152" s="51">
        <f t="shared" si="241"/>
        <v>48950</v>
      </c>
      <c r="BC152" s="51">
        <f t="shared" si="241"/>
        <v>1500</v>
      </c>
      <c r="BD152" s="51">
        <f t="shared" si="241"/>
        <v>1468</v>
      </c>
      <c r="BE152" s="51">
        <f t="shared" si="241"/>
        <v>222310</v>
      </c>
      <c r="BF152" s="51">
        <f t="shared" si="241"/>
        <v>5250</v>
      </c>
      <c r="BG152" s="51">
        <f t="shared" si="241"/>
        <v>3944</v>
      </c>
      <c r="BH152" s="51">
        <f t="shared" si="241"/>
        <v>48460</v>
      </c>
      <c r="BI152" s="51">
        <f t="shared" si="241"/>
        <v>1500</v>
      </c>
      <c r="BJ152" s="51">
        <f t="shared" si="241"/>
        <v>1453</v>
      </c>
      <c r="BK152" s="51">
        <f>SUM(AY152:BJ152)</f>
        <v>642719</v>
      </c>
      <c r="BL152" s="51">
        <f>SUM(BL131:BL151)</f>
        <v>293280</v>
      </c>
      <c r="BM152" s="51">
        <f t="shared" ref="BM152:BW152" si="242">SUM(BM131:BM151)</f>
        <v>6750</v>
      </c>
      <c r="BN152" s="51">
        <f t="shared" si="242"/>
        <v>7854</v>
      </c>
      <c r="BO152" s="51">
        <f t="shared" si="242"/>
        <v>48950</v>
      </c>
      <c r="BP152" s="51">
        <f t="shared" si="242"/>
        <v>1500</v>
      </c>
      <c r="BQ152" s="51">
        <f t="shared" si="242"/>
        <v>1468</v>
      </c>
      <c r="BR152" s="51">
        <f t="shared" si="242"/>
        <v>222310</v>
      </c>
      <c r="BS152" s="51">
        <f t="shared" si="242"/>
        <v>5250</v>
      </c>
      <c r="BT152" s="51">
        <f t="shared" si="242"/>
        <v>3944</v>
      </c>
      <c r="BU152" s="51">
        <f t="shared" si="242"/>
        <v>48460</v>
      </c>
      <c r="BV152" s="51">
        <f t="shared" si="242"/>
        <v>1500</v>
      </c>
      <c r="BW152" s="51">
        <f t="shared" si="242"/>
        <v>1453</v>
      </c>
      <c r="BX152" s="51">
        <f>SUM(BL152:BW152)</f>
        <v>642719</v>
      </c>
      <c r="BY152" s="51">
        <f>SUM(BY131:BY151)</f>
        <v>293280</v>
      </c>
      <c r="BZ152" s="51">
        <f t="shared" ref="BZ152:CJ152" si="243">SUM(BZ131:BZ151)</f>
        <v>6750</v>
      </c>
      <c r="CA152" s="51">
        <f t="shared" si="243"/>
        <v>7854</v>
      </c>
      <c r="CB152" s="51">
        <f t="shared" si="243"/>
        <v>48950</v>
      </c>
      <c r="CC152" s="51">
        <f t="shared" si="243"/>
        <v>1500</v>
      </c>
      <c r="CD152" s="51">
        <f t="shared" si="243"/>
        <v>1468</v>
      </c>
      <c r="CE152" s="51">
        <f t="shared" si="243"/>
        <v>222310</v>
      </c>
      <c r="CF152" s="51">
        <f t="shared" si="243"/>
        <v>5250</v>
      </c>
      <c r="CG152" s="51">
        <f t="shared" si="243"/>
        <v>3944</v>
      </c>
      <c r="CH152" s="51">
        <f t="shared" si="243"/>
        <v>48460</v>
      </c>
      <c r="CI152" s="51">
        <f t="shared" si="243"/>
        <v>1500</v>
      </c>
      <c r="CJ152" s="51">
        <f t="shared" si="243"/>
        <v>1453</v>
      </c>
      <c r="CK152" s="51">
        <f t="shared" si="209"/>
        <v>642719</v>
      </c>
      <c r="CL152" s="51">
        <f>+BK152+BX152+CK152</f>
        <v>1928157</v>
      </c>
      <c r="CM152" s="51">
        <f>SUM(CM131:CM151)</f>
        <v>271840</v>
      </c>
      <c r="CN152" s="51">
        <f t="shared" ref="CN152:CX152" si="244">SUM(CN131:CN151)</f>
        <v>6000</v>
      </c>
      <c r="CO152" s="51">
        <f t="shared" si="244"/>
        <v>9101</v>
      </c>
      <c r="CP152" s="51">
        <f t="shared" si="244"/>
        <v>51410</v>
      </c>
      <c r="CQ152" s="51">
        <f t="shared" si="244"/>
        <v>1500</v>
      </c>
      <c r="CR152" s="51">
        <f t="shared" si="244"/>
        <v>1542</v>
      </c>
      <c r="CS152" s="51">
        <f t="shared" si="244"/>
        <v>230550</v>
      </c>
      <c r="CT152" s="51">
        <f t="shared" si="244"/>
        <v>5250</v>
      </c>
      <c r="CU152" s="51">
        <f t="shared" si="244"/>
        <v>4142</v>
      </c>
      <c r="CV152" s="51">
        <f t="shared" si="244"/>
        <v>50890</v>
      </c>
      <c r="CW152" s="51">
        <f t="shared" si="244"/>
        <v>1500</v>
      </c>
      <c r="CX152" s="51">
        <f t="shared" si="244"/>
        <v>1526</v>
      </c>
      <c r="CY152" s="51">
        <f>SUM(CM152:CX152)</f>
        <v>635251</v>
      </c>
      <c r="CZ152" s="51">
        <f>SUM(CZ131:CZ151)</f>
        <v>340660</v>
      </c>
      <c r="DA152" s="51">
        <f t="shared" ref="DA152:DK152" si="245">SUM(DA131:DA151)</f>
        <v>6000</v>
      </c>
      <c r="DB152" s="51">
        <f t="shared" si="245"/>
        <v>10226</v>
      </c>
      <c r="DC152" s="51">
        <f t="shared" si="245"/>
        <v>66170</v>
      </c>
      <c r="DD152" s="51">
        <f t="shared" si="245"/>
        <v>1500</v>
      </c>
      <c r="DE152" s="51">
        <f t="shared" si="245"/>
        <v>1986</v>
      </c>
      <c r="DF152" s="51">
        <f t="shared" si="245"/>
        <v>279990</v>
      </c>
      <c r="DG152" s="51">
        <f t="shared" si="245"/>
        <v>5250</v>
      </c>
      <c r="DH152" s="51">
        <f t="shared" si="245"/>
        <v>5330</v>
      </c>
      <c r="DI152" s="51">
        <f t="shared" si="245"/>
        <v>65470</v>
      </c>
      <c r="DJ152" s="51">
        <f t="shared" si="245"/>
        <v>1500</v>
      </c>
      <c r="DK152" s="51">
        <f t="shared" si="245"/>
        <v>1964</v>
      </c>
      <c r="DL152" s="51">
        <f>SUM(CZ152:DK152)</f>
        <v>786046</v>
      </c>
      <c r="DM152" s="51">
        <f>SUM(DM131:DM151)</f>
        <v>271840</v>
      </c>
      <c r="DN152" s="51">
        <f t="shared" ref="DN152:DX152" si="246">SUM(DN131:DN151)</f>
        <v>6000</v>
      </c>
      <c r="DO152" s="51">
        <f t="shared" si="246"/>
        <v>8156</v>
      </c>
      <c r="DP152" s="51">
        <f t="shared" si="246"/>
        <v>51410</v>
      </c>
      <c r="DQ152" s="51">
        <f t="shared" si="246"/>
        <v>1500</v>
      </c>
      <c r="DR152" s="51">
        <f t="shared" si="246"/>
        <v>1542</v>
      </c>
      <c r="DS152" s="51">
        <f t="shared" si="246"/>
        <v>230550</v>
      </c>
      <c r="DT152" s="51">
        <f t="shared" si="246"/>
        <v>5250</v>
      </c>
      <c r="DU152" s="51">
        <f t="shared" si="246"/>
        <v>4142</v>
      </c>
      <c r="DV152" s="51">
        <f t="shared" si="246"/>
        <v>50890</v>
      </c>
      <c r="DW152" s="51">
        <f t="shared" si="246"/>
        <v>1500</v>
      </c>
      <c r="DX152" s="51">
        <f t="shared" si="246"/>
        <v>1526</v>
      </c>
      <c r="DY152" s="51">
        <f t="shared" si="215"/>
        <v>634306</v>
      </c>
      <c r="DZ152" s="51">
        <f>+CY152+DL152+DY152</f>
        <v>2055603</v>
      </c>
      <c r="EA152" s="51">
        <f>SUM(EA131:EA151)</f>
        <v>271840</v>
      </c>
      <c r="EB152" s="51">
        <f t="shared" ref="EB152:EL152" si="247">SUM(EB131:EB151)</f>
        <v>6000</v>
      </c>
      <c r="EC152" s="51">
        <f t="shared" si="247"/>
        <v>8156</v>
      </c>
      <c r="ED152" s="51">
        <f t="shared" si="247"/>
        <v>51410</v>
      </c>
      <c r="EE152" s="51">
        <f t="shared" si="247"/>
        <v>1500</v>
      </c>
      <c r="EF152" s="51">
        <f t="shared" si="247"/>
        <v>1542</v>
      </c>
      <c r="EG152" s="51">
        <f t="shared" si="247"/>
        <v>230550</v>
      </c>
      <c r="EH152" s="51">
        <f t="shared" si="247"/>
        <v>5250</v>
      </c>
      <c r="EI152" s="51">
        <f t="shared" si="247"/>
        <v>4142</v>
      </c>
      <c r="EJ152" s="51">
        <f t="shared" si="247"/>
        <v>50890</v>
      </c>
      <c r="EK152" s="51">
        <f t="shared" si="247"/>
        <v>1500</v>
      </c>
      <c r="EL152" s="51">
        <f t="shared" si="247"/>
        <v>1526</v>
      </c>
      <c r="EM152" s="51">
        <f>SUM(EA152:EL152)</f>
        <v>634306</v>
      </c>
      <c r="EN152" s="51">
        <f>SUM(EN131:EN151)</f>
        <v>271840</v>
      </c>
      <c r="EO152" s="51">
        <f t="shared" ref="EO152:EY152" si="248">SUM(EO131:EO151)</f>
        <v>6000</v>
      </c>
      <c r="EP152" s="51">
        <f t="shared" si="248"/>
        <v>8156</v>
      </c>
      <c r="EQ152" s="51">
        <f t="shared" si="248"/>
        <v>51410</v>
      </c>
      <c r="ER152" s="51">
        <f t="shared" si="248"/>
        <v>1500</v>
      </c>
      <c r="ES152" s="51">
        <f t="shared" si="248"/>
        <v>1542</v>
      </c>
      <c r="ET152" s="51">
        <f t="shared" si="248"/>
        <v>230550</v>
      </c>
      <c r="EU152" s="51">
        <f t="shared" si="248"/>
        <v>5250</v>
      </c>
      <c r="EV152" s="51">
        <f t="shared" si="248"/>
        <v>4142</v>
      </c>
      <c r="EW152" s="51">
        <f t="shared" si="248"/>
        <v>50890</v>
      </c>
      <c r="EX152" s="51">
        <f t="shared" si="248"/>
        <v>1500</v>
      </c>
      <c r="EY152" s="51">
        <f t="shared" si="248"/>
        <v>1526</v>
      </c>
      <c r="EZ152" s="51">
        <f>SUM(EN152:EY152)</f>
        <v>634306</v>
      </c>
      <c r="FA152" s="51">
        <f>SUM(FA131:FA151)</f>
        <v>271840</v>
      </c>
      <c r="FB152" s="51">
        <f t="shared" ref="FB152:FL152" si="249">SUM(FB131:FB151)</f>
        <v>6000</v>
      </c>
      <c r="FC152" s="51">
        <f t="shared" si="249"/>
        <v>8156</v>
      </c>
      <c r="FD152" s="51">
        <f t="shared" si="249"/>
        <v>51410</v>
      </c>
      <c r="FE152" s="51">
        <f t="shared" si="249"/>
        <v>1500</v>
      </c>
      <c r="FF152" s="51">
        <f t="shared" si="249"/>
        <v>1542</v>
      </c>
      <c r="FG152" s="51">
        <f t="shared" si="249"/>
        <v>230550</v>
      </c>
      <c r="FH152" s="51">
        <f t="shared" si="249"/>
        <v>5250</v>
      </c>
      <c r="FI152" s="51">
        <f t="shared" si="249"/>
        <v>4142</v>
      </c>
      <c r="FJ152" s="51">
        <f t="shared" si="249"/>
        <v>50890</v>
      </c>
      <c r="FK152" s="51">
        <f t="shared" si="249"/>
        <v>1500</v>
      </c>
      <c r="FL152" s="51">
        <f t="shared" si="249"/>
        <v>1526</v>
      </c>
      <c r="FM152" s="51">
        <f t="shared" si="218"/>
        <v>634306</v>
      </c>
      <c r="FN152" s="51">
        <f>+EM152+EZ152+FM152</f>
        <v>1902918</v>
      </c>
      <c r="FO152" s="35">
        <f t="shared" si="220"/>
        <v>7857826.9399999995</v>
      </c>
    </row>
    <row r="153" spans="1:171" ht="21.75" thickBot="1" x14ac:dyDescent="0.4">
      <c r="A153" s="42"/>
      <c r="B153" s="43"/>
      <c r="C153" s="60"/>
      <c r="D153" s="44"/>
      <c r="E153" s="60"/>
      <c r="F153" s="60"/>
      <c r="G153" s="60"/>
      <c r="H153" s="60"/>
      <c r="I153" s="60"/>
      <c r="J153" s="60"/>
      <c r="K153" s="45">
        <f>+K25+K73+K95+K100+K122+K129+K152</f>
        <v>1469940</v>
      </c>
      <c r="L153" s="45">
        <f t="shared" ref="L153:BW153" si="250">+L25+L73+L95+L100+L122+L129+L152</f>
        <v>35250</v>
      </c>
      <c r="M153" s="45">
        <f t="shared" si="250"/>
        <v>33286</v>
      </c>
      <c r="N153" s="45">
        <f t="shared" si="250"/>
        <v>682400</v>
      </c>
      <c r="O153" s="45">
        <f t="shared" si="250"/>
        <v>21750</v>
      </c>
      <c r="P153" s="45">
        <f t="shared" si="250"/>
        <v>17683</v>
      </c>
      <c r="Q153" s="45">
        <f t="shared" si="250"/>
        <v>1173881.94</v>
      </c>
      <c r="R153" s="45">
        <f t="shared" si="250"/>
        <v>28500</v>
      </c>
      <c r="S153" s="45">
        <f t="shared" si="250"/>
        <v>27452</v>
      </c>
      <c r="T153" s="45">
        <f t="shared" si="250"/>
        <v>169300</v>
      </c>
      <c r="U153" s="45">
        <f t="shared" si="250"/>
        <v>5250</v>
      </c>
      <c r="V153" s="45">
        <f t="shared" si="250"/>
        <v>4359</v>
      </c>
      <c r="W153" s="45">
        <f t="shared" si="250"/>
        <v>3669051.94</v>
      </c>
      <c r="X153" s="45">
        <f t="shared" si="250"/>
        <v>1469940</v>
      </c>
      <c r="Y153" s="45">
        <f t="shared" si="250"/>
        <v>35250</v>
      </c>
      <c r="Z153" s="45">
        <f t="shared" si="250"/>
        <v>32498</v>
      </c>
      <c r="AA153" s="45">
        <f t="shared" si="250"/>
        <v>682400</v>
      </c>
      <c r="AB153" s="45">
        <f t="shared" si="250"/>
        <v>21750</v>
      </c>
      <c r="AC153" s="45">
        <f t="shared" si="250"/>
        <v>17683</v>
      </c>
      <c r="AD153" s="45">
        <f t="shared" si="250"/>
        <v>1132390</v>
      </c>
      <c r="AE153" s="45">
        <f t="shared" si="250"/>
        <v>27000</v>
      </c>
      <c r="AF153" s="45">
        <f t="shared" si="250"/>
        <v>26505</v>
      </c>
      <c r="AG153" s="45">
        <f t="shared" si="250"/>
        <v>169300</v>
      </c>
      <c r="AH153" s="45">
        <f t="shared" si="250"/>
        <v>5250</v>
      </c>
      <c r="AI153" s="45">
        <f t="shared" si="250"/>
        <v>4359</v>
      </c>
      <c r="AJ153" s="45">
        <f t="shared" si="250"/>
        <v>3624325</v>
      </c>
      <c r="AK153" s="45">
        <f t="shared" si="250"/>
        <v>1469940</v>
      </c>
      <c r="AL153" s="45">
        <f t="shared" si="250"/>
        <v>35250</v>
      </c>
      <c r="AM153" s="45">
        <f t="shared" si="250"/>
        <v>32498</v>
      </c>
      <c r="AN153" s="45">
        <f t="shared" si="250"/>
        <v>682400</v>
      </c>
      <c r="AO153" s="45">
        <f t="shared" si="250"/>
        <v>21750</v>
      </c>
      <c r="AP153" s="45">
        <f t="shared" si="250"/>
        <v>17683</v>
      </c>
      <c r="AQ153" s="45">
        <f t="shared" si="250"/>
        <v>1132390</v>
      </c>
      <c r="AR153" s="45">
        <f t="shared" si="250"/>
        <v>27000</v>
      </c>
      <c r="AS153" s="45">
        <f t="shared" si="250"/>
        <v>26505</v>
      </c>
      <c r="AT153" s="45">
        <f t="shared" si="250"/>
        <v>169300</v>
      </c>
      <c r="AU153" s="45">
        <f t="shared" si="250"/>
        <v>5250</v>
      </c>
      <c r="AV153" s="45">
        <f t="shared" si="250"/>
        <v>4359</v>
      </c>
      <c r="AW153" s="45">
        <f t="shared" si="250"/>
        <v>3624325</v>
      </c>
      <c r="AX153" s="45">
        <f>+AX25+AX73+AX95+AX100+AX122+AX129+AX152</f>
        <v>10917701.939999999</v>
      </c>
      <c r="AY153" s="45">
        <f t="shared" si="250"/>
        <v>1553429.3499999999</v>
      </c>
      <c r="AZ153" s="45">
        <f t="shared" si="250"/>
        <v>36750</v>
      </c>
      <c r="BA153" s="45">
        <f t="shared" si="250"/>
        <v>32498</v>
      </c>
      <c r="BB153" s="45">
        <f t="shared" si="250"/>
        <v>680800.02</v>
      </c>
      <c r="BC153" s="45">
        <f t="shared" si="250"/>
        <v>21750</v>
      </c>
      <c r="BD153" s="45">
        <f t="shared" si="250"/>
        <v>16938.63</v>
      </c>
      <c r="BE153" s="45">
        <f t="shared" si="250"/>
        <v>1132390</v>
      </c>
      <c r="BF153" s="45">
        <f t="shared" si="250"/>
        <v>27000</v>
      </c>
      <c r="BG153" s="45">
        <f t="shared" si="250"/>
        <v>26505</v>
      </c>
      <c r="BH153" s="45">
        <f t="shared" si="250"/>
        <v>169300</v>
      </c>
      <c r="BI153" s="45">
        <f t="shared" si="250"/>
        <v>5250</v>
      </c>
      <c r="BJ153" s="45">
        <f t="shared" si="250"/>
        <v>4359</v>
      </c>
      <c r="BK153" s="45">
        <f t="shared" si="250"/>
        <v>3706970</v>
      </c>
      <c r="BL153" s="45">
        <f t="shared" si="250"/>
        <v>1526590</v>
      </c>
      <c r="BM153" s="45">
        <f t="shared" si="250"/>
        <v>36750</v>
      </c>
      <c r="BN153" s="45">
        <f t="shared" si="250"/>
        <v>32498</v>
      </c>
      <c r="BO153" s="45">
        <f t="shared" si="250"/>
        <v>682400</v>
      </c>
      <c r="BP153" s="45">
        <f t="shared" si="250"/>
        <v>21750</v>
      </c>
      <c r="BQ153" s="45">
        <f t="shared" si="250"/>
        <v>16965</v>
      </c>
      <c r="BR153" s="45">
        <f t="shared" si="250"/>
        <v>1132390</v>
      </c>
      <c r="BS153" s="45">
        <f t="shared" si="250"/>
        <v>27000</v>
      </c>
      <c r="BT153" s="45">
        <f t="shared" si="250"/>
        <v>26505</v>
      </c>
      <c r="BU153" s="45">
        <f t="shared" si="250"/>
        <v>169300</v>
      </c>
      <c r="BV153" s="45">
        <f t="shared" si="250"/>
        <v>5250</v>
      </c>
      <c r="BW153" s="45">
        <f t="shared" si="250"/>
        <v>4359</v>
      </c>
      <c r="BX153" s="45">
        <f t="shared" ref="BX153:EI153" si="251">+BX25+BX73+BX95+BX100+BX122+BX129+BX152</f>
        <v>3681757</v>
      </c>
      <c r="BY153" s="45">
        <f t="shared" si="251"/>
        <v>1526590</v>
      </c>
      <c r="BZ153" s="45">
        <f t="shared" si="251"/>
        <v>36750</v>
      </c>
      <c r="CA153" s="45">
        <f t="shared" si="251"/>
        <v>32498</v>
      </c>
      <c r="CB153" s="45">
        <f t="shared" si="251"/>
        <v>682400</v>
      </c>
      <c r="CC153" s="45">
        <f t="shared" si="251"/>
        <v>21750</v>
      </c>
      <c r="CD153" s="45">
        <f t="shared" si="251"/>
        <v>16965</v>
      </c>
      <c r="CE153" s="45">
        <f t="shared" si="251"/>
        <v>1132390</v>
      </c>
      <c r="CF153" s="45">
        <f t="shared" si="251"/>
        <v>27000</v>
      </c>
      <c r="CG153" s="45">
        <f t="shared" si="251"/>
        <v>26505</v>
      </c>
      <c r="CH153" s="45">
        <f t="shared" si="251"/>
        <v>169300</v>
      </c>
      <c r="CI153" s="45">
        <f t="shared" si="251"/>
        <v>5250</v>
      </c>
      <c r="CJ153" s="45">
        <f t="shared" si="251"/>
        <v>4359</v>
      </c>
      <c r="CK153" s="45">
        <f t="shared" si="251"/>
        <v>3681757</v>
      </c>
      <c r="CL153" s="45">
        <f t="shared" si="251"/>
        <v>11070484</v>
      </c>
      <c r="CM153" s="45">
        <f t="shared" si="251"/>
        <v>1554670</v>
      </c>
      <c r="CN153" s="45">
        <f t="shared" si="251"/>
        <v>36000</v>
      </c>
      <c r="CO153" s="45">
        <f t="shared" si="251"/>
        <v>34908</v>
      </c>
      <c r="CP153" s="45">
        <f t="shared" si="251"/>
        <v>716280</v>
      </c>
      <c r="CQ153" s="45">
        <f t="shared" si="251"/>
        <v>21750</v>
      </c>
      <c r="CR153" s="45">
        <f t="shared" si="251"/>
        <v>17816</v>
      </c>
      <c r="CS153" s="45">
        <f t="shared" si="251"/>
        <v>1185990</v>
      </c>
      <c r="CT153" s="45">
        <f t="shared" si="251"/>
        <v>27000</v>
      </c>
      <c r="CU153" s="45">
        <f t="shared" si="251"/>
        <v>27825</v>
      </c>
      <c r="CV153" s="45">
        <f t="shared" si="251"/>
        <v>177770</v>
      </c>
      <c r="CW153" s="45">
        <f t="shared" si="251"/>
        <v>5250</v>
      </c>
      <c r="CX153" s="45">
        <f t="shared" si="251"/>
        <v>4578</v>
      </c>
      <c r="CY153" s="45">
        <f t="shared" si="251"/>
        <v>3809837</v>
      </c>
      <c r="CZ153" s="45">
        <f t="shared" si="251"/>
        <v>1920610</v>
      </c>
      <c r="DA153" s="45">
        <f t="shared" si="251"/>
        <v>36000.520000000004</v>
      </c>
      <c r="DB153" s="45">
        <f t="shared" si="251"/>
        <v>43035</v>
      </c>
      <c r="DC153" s="45">
        <f t="shared" si="251"/>
        <v>917773.29</v>
      </c>
      <c r="DD153" s="45">
        <f t="shared" si="251"/>
        <v>21775.62</v>
      </c>
      <c r="DE153" s="45">
        <f t="shared" si="251"/>
        <v>22873</v>
      </c>
      <c r="DF153" s="45">
        <f t="shared" si="251"/>
        <v>1507590</v>
      </c>
      <c r="DG153" s="45">
        <f t="shared" si="251"/>
        <v>27000</v>
      </c>
      <c r="DH153" s="45">
        <f t="shared" si="251"/>
        <v>35769</v>
      </c>
      <c r="DI153" s="45">
        <f t="shared" si="251"/>
        <v>228590</v>
      </c>
      <c r="DJ153" s="45">
        <f t="shared" si="251"/>
        <v>5250</v>
      </c>
      <c r="DK153" s="45">
        <f t="shared" si="251"/>
        <v>5892</v>
      </c>
      <c r="DL153" s="45">
        <f t="shared" si="251"/>
        <v>4772158.43</v>
      </c>
      <c r="DM153" s="45">
        <f t="shared" si="251"/>
        <v>1554670</v>
      </c>
      <c r="DN153" s="45">
        <f t="shared" si="251"/>
        <v>36000</v>
      </c>
      <c r="DO153" s="45">
        <f t="shared" si="251"/>
        <v>33963</v>
      </c>
      <c r="DP153" s="45">
        <f t="shared" si="251"/>
        <v>716280</v>
      </c>
      <c r="DQ153" s="45">
        <f t="shared" si="251"/>
        <v>21750</v>
      </c>
      <c r="DR153" s="45">
        <f t="shared" si="251"/>
        <v>17816</v>
      </c>
      <c r="DS153" s="45">
        <f t="shared" si="251"/>
        <v>1185990</v>
      </c>
      <c r="DT153" s="45">
        <f t="shared" si="251"/>
        <v>27000</v>
      </c>
      <c r="DU153" s="45">
        <f t="shared" si="251"/>
        <v>27825</v>
      </c>
      <c r="DV153" s="45">
        <f t="shared" si="251"/>
        <v>177770</v>
      </c>
      <c r="DW153" s="45">
        <f t="shared" si="251"/>
        <v>5250</v>
      </c>
      <c r="DX153" s="45">
        <f t="shared" si="251"/>
        <v>4578</v>
      </c>
      <c r="DY153" s="45">
        <f t="shared" si="251"/>
        <v>3808892</v>
      </c>
      <c r="DZ153" s="45">
        <f t="shared" si="251"/>
        <v>12390887.43</v>
      </c>
      <c r="EA153" s="45">
        <f t="shared" si="251"/>
        <v>1559428.3900000001</v>
      </c>
      <c r="EB153" s="45">
        <f t="shared" si="251"/>
        <v>36000</v>
      </c>
      <c r="EC153" s="45">
        <f t="shared" si="251"/>
        <v>35052</v>
      </c>
      <c r="ED153" s="45">
        <f t="shared" si="251"/>
        <v>716280</v>
      </c>
      <c r="EE153" s="45">
        <f t="shared" si="251"/>
        <v>21750</v>
      </c>
      <c r="EF153" s="45">
        <f t="shared" si="251"/>
        <v>14742</v>
      </c>
      <c r="EG153" s="45">
        <f t="shared" si="251"/>
        <v>1185990</v>
      </c>
      <c r="EH153" s="45">
        <f t="shared" si="251"/>
        <v>27000</v>
      </c>
      <c r="EI153" s="45">
        <f t="shared" si="251"/>
        <v>27825</v>
      </c>
      <c r="EJ153" s="45">
        <f t="shared" ref="EJ153:FO153" si="252">+EJ25+EJ73+EJ95+EJ100+EJ122+EJ129+EJ152</f>
        <v>177770</v>
      </c>
      <c r="EK153" s="45">
        <f t="shared" si="252"/>
        <v>5250</v>
      </c>
      <c r="EL153" s="45">
        <f t="shared" si="252"/>
        <v>4578</v>
      </c>
      <c r="EM153" s="45">
        <f t="shared" si="252"/>
        <v>3811665.39</v>
      </c>
      <c r="EN153" s="45">
        <f t="shared" si="252"/>
        <v>1555660</v>
      </c>
      <c r="EO153" s="45">
        <f t="shared" si="252"/>
        <v>36000</v>
      </c>
      <c r="EP153" s="45">
        <f t="shared" si="252"/>
        <v>34938</v>
      </c>
      <c r="EQ153" s="45">
        <f t="shared" si="252"/>
        <v>716280</v>
      </c>
      <c r="ER153" s="45">
        <f t="shared" si="252"/>
        <v>21750</v>
      </c>
      <c r="ES153" s="45">
        <f t="shared" si="252"/>
        <v>14742</v>
      </c>
      <c r="ET153" s="45">
        <f t="shared" si="252"/>
        <v>1185990</v>
      </c>
      <c r="EU153" s="45">
        <f t="shared" si="252"/>
        <v>27000</v>
      </c>
      <c r="EV153" s="45">
        <f t="shared" si="252"/>
        <v>27825</v>
      </c>
      <c r="EW153" s="45">
        <f t="shared" si="252"/>
        <v>177770</v>
      </c>
      <c r="EX153" s="45">
        <f t="shared" si="252"/>
        <v>5250</v>
      </c>
      <c r="EY153" s="45">
        <f t="shared" si="252"/>
        <v>4578</v>
      </c>
      <c r="EZ153" s="45">
        <f t="shared" si="252"/>
        <v>3807783</v>
      </c>
      <c r="FA153" s="45">
        <f t="shared" si="252"/>
        <v>1555660</v>
      </c>
      <c r="FB153" s="45">
        <f t="shared" si="252"/>
        <v>36000</v>
      </c>
      <c r="FC153" s="45">
        <f t="shared" si="252"/>
        <v>34938</v>
      </c>
      <c r="FD153" s="45">
        <f t="shared" si="252"/>
        <v>716280</v>
      </c>
      <c r="FE153" s="45">
        <f t="shared" si="252"/>
        <v>21750</v>
      </c>
      <c r="FF153" s="45">
        <f t="shared" si="252"/>
        <v>14742</v>
      </c>
      <c r="FG153" s="45">
        <f t="shared" si="252"/>
        <v>1185990</v>
      </c>
      <c r="FH153" s="45">
        <f t="shared" si="252"/>
        <v>27000</v>
      </c>
      <c r="FI153" s="45">
        <f t="shared" si="252"/>
        <v>27825</v>
      </c>
      <c r="FJ153" s="45">
        <f t="shared" si="252"/>
        <v>177770</v>
      </c>
      <c r="FK153" s="45">
        <f t="shared" si="252"/>
        <v>5250</v>
      </c>
      <c r="FL153" s="45">
        <f t="shared" si="252"/>
        <v>4578</v>
      </c>
      <c r="FM153" s="45">
        <f t="shared" si="252"/>
        <v>3807783</v>
      </c>
      <c r="FN153" s="45">
        <f t="shared" si="252"/>
        <v>11427231.390000001</v>
      </c>
      <c r="FO153" s="45">
        <f t="shared" si="252"/>
        <v>45806304.759999998</v>
      </c>
    </row>
    <row r="154" spans="1:171" ht="21.75" thickTop="1" x14ac:dyDescent="0.35"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</row>
    <row r="155" spans="1:171" x14ac:dyDescent="0.35"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</row>
    <row r="156" spans="1:171" x14ac:dyDescent="0.35"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</row>
    <row r="157" spans="1:171" x14ac:dyDescent="0.35">
      <c r="A157" s="55" t="s">
        <v>245</v>
      </c>
      <c r="B157" s="55"/>
      <c r="C157" s="55"/>
      <c r="D157" s="55"/>
      <c r="E157" s="55"/>
      <c r="F157" s="55"/>
      <c r="G157" s="55"/>
      <c r="H157" s="55"/>
      <c r="I157" s="55"/>
      <c r="J157" s="55"/>
      <c r="K157" s="119">
        <v>22555</v>
      </c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9">
        <v>22586</v>
      </c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9">
        <v>22616</v>
      </c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5" t="s">
        <v>223</v>
      </c>
      <c r="AY157" s="119">
        <v>22647</v>
      </c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9">
        <v>22678</v>
      </c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9">
        <v>22341</v>
      </c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5" t="s">
        <v>224</v>
      </c>
      <c r="CM157" s="117" t="s">
        <v>94</v>
      </c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 t="s">
        <v>95</v>
      </c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 t="s">
        <v>96</v>
      </c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5" t="s">
        <v>225</v>
      </c>
      <c r="EA157" s="117" t="s">
        <v>97</v>
      </c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 t="s">
        <v>98</v>
      </c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 t="s">
        <v>99</v>
      </c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5" t="s">
        <v>226</v>
      </c>
      <c r="FO157" s="111" t="s">
        <v>228</v>
      </c>
    </row>
    <row r="158" spans="1:171" x14ac:dyDescent="0.35">
      <c r="A158" s="55" t="s">
        <v>103</v>
      </c>
      <c r="B158" s="55" t="s">
        <v>100</v>
      </c>
      <c r="C158" s="55" t="s">
        <v>249</v>
      </c>
      <c r="D158" s="55"/>
      <c r="E158" s="55"/>
      <c r="F158" s="55"/>
      <c r="G158" s="55"/>
      <c r="H158" s="55"/>
      <c r="I158" s="55"/>
      <c r="J158" s="55"/>
      <c r="K158" s="117" t="s">
        <v>17</v>
      </c>
      <c r="L158" s="117"/>
      <c r="M158" s="117"/>
      <c r="N158" s="117"/>
      <c r="O158" s="117"/>
      <c r="P158" s="117"/>
      <c r="Q158" s="117" t="s">
        <v>18</v>
      </c>
      <c r="R158" s="117"/>
      <c r="S158" s="117"/>
      <c r="T158" s="117"/>
      <c r="U158" s="117"/>
      <c r="V158" s="117"/>
      <c r="W158" s="5" t="s">
        <v>16</v>
      </c>
      <c r="X158" s="117" t="s">
        <v>17</v>
      </c>
      <c r="Y158" s="117"/>
      <c r="Z158" s="117"/>
      <c r="AA158" s="117"/>
      <c r="AB158" s="117"/>
      <c r="AC158" s="117"/>
      <c r="AD158" s="117" t="s">
        <v>18</v>
      </c>
      <c r="AE158" s="117"/>
      <c r="AF158" s="117"/>
      <c r="AG158" s="117"/>
      <c r="AH158" s="117"/>
      <c r="AI158" s="117"/>
      <c r="AJ158" s="5" t="s">
        <v>16</v>
      </c>
      <c r="AK158" s="117" t="s">
        <v>17</v>
      </c>
      <c r="AL158" s="117"/>
      <c r="AM158" s="117"/>
      <c r="AN158" s="117"/>
      <c r="AO158" s="117"/>
      <c r="AP158" s="117"/>
      <c r="AQ158" s="117" t="s">
        <v>18</v>
      </c>
      <c r="AR158" s="117"/>
      <c r="AS158" s="117"/>
      <c r="AT158" s="117"/>
      <c r="AU158" s="117"/>
      <c r="AV158" s="117"/>
      <c r="AW158" s="5" t="s">
        <v>16</v>
      </c>
      <c r="AX158" s="5" t="s">
        <v>16</v>
      </c>
      <c r="AY158" s="117" t="s">
        <v>17</v>
      </c>
      <c r="AZ158" s="117"/>
      <c r="BA158" s="117"/>
      <c r="BB158" s="117"/>
      <c r="BC158" s="117"/>
      <c r="BD158" s="117"/>
      <c r="BE158" s="117" t="s">
        <v>18</v>
      </c>
      <c r="BF158" s="117"/>
      <c r="BG158" s="117"/>
      <c r="BH158" s="117"/>
      <c r="BI158" s="117"/>
      <c r="BJ158" s="117"/>
      <c r="BK158" s="5" t="s">
        <v>16</v>
      </c>
      <c r="BL158" s="117" t="s">
        <v>17</v>
      </c>
      <c r="BM158" s="117"/>
      <c r="BN158" s="117"/>
      <c r="BO158" s="117"/>
      <c r="BP158" s="117"/>
      <c r="BQ158" s="117"/>
      <c r="BR158" s="117" t="s">
        <v>18</v>
      </c>
      <c r="BS158" s="117"/>
      <c r="BT158" s="117"/>
      <c r="BU158" s="117"/>
      <c r="BV158" s="117"/>
      <c r="BW158" s="117"/>
      <c r="BX158" s="5" t="s">
        <v>16</v>
      </c>
      <c r="BY158" s="117" t="s">
        <v>17</v>
      </c>
      <c r="BZ158" s="117"/>
      <c r="CA158" s="117"/>
      <c r="CB158" s="117"/>
      <c r="CC158" s="117"/>
      <c r="CD158" s="117"/>
      <c r="CE158" s="117" t="s">
        <v>18</v>
      </c>
      <c r="CF158" s="117"/>
      <c r="CG158" s="117"/>
      <c r="CH158" s="117"/>
      <c r="CI158" s="117"/>
      <c r="CJ158" s="117"/>
      <c r="CK158" s="5" t="s">
        <v>16</v>
      </c>
      <c r="CL158" s="5" t="s">
        <v>16</v>
      </c>
      <c r="CM158" s="117" t="s">
        <v>17</v>
      </c>
      <c r="CN158" s="117"/>
      <c r="CO158" s="117"/>
      <c r="CP158" s="117"/>
      <c r="CQ158" s="117"/>
      <c r="CR158" s="117"/>
      <c r="CS158" s="117" t="s">
        <v>18</v>
      </c>
      <c r="CT158" s="117"/>
      <c r="CU158" s="117"/>
      <c r="CV158" s="117"/>
      <c r="CW158" s="117"/>
      <c r="CX158" s="117"/>
      <c r="CY158" s="5" t="s">
        <v>16</v>
      </c>
      <c r="CZ158" s="117" t="s">
        <v>17</v>
      </c>
      <c r="DA158" s="117"/>
      <c r="DB158" s="117"/>
      <c r="DC158" s="117"/>
      <c r="DD158" s="117"/>
      <c r="DE158" s="117"/>
      <c r="DF158" s="117" t="s">
        <v>18</v>
      </c>
      <c r="DG158" s="117"/>
      <c r="DH158" s="117"/>
      <c r="DI158" s="117"/>
      <c r="DJ158" s="117"/>
      <c r="DK158" s="117"/>
      <c r="DL158" s="5" t="s">
        <v>16</v>
      </c>
      <c r="DM158" s="117" t="s">
        <v>17</v>
      </c>
      <c r="DN158" s="117"/>
      <c r="DO158" s="117"/>
      <c r="DP158" s="117"/>
      <c r="DQ158" s="117"/>
      <c r="DR158" s="117"/>
      <c r="DS158" s="117" t="s">
        <v>18</v>
      </c>
      <c r="DT158" s="117"/>
      <c r="DU158" s="117"/>
      <c r="DV158" s="117"/>
      <c r="DW158" s="117"/>
      <c r="DX158" s="117"/>
      <c r="DY158" s="5" t="s">
        <v>16</v>
      </c>
      <c r="DZ158" s="5" t="s">
        <v>16</v>
      </c>
      <c r="EA158" s="117" t="s">
        <v>17</v>
      </c>
      <c r="EB158" s="117"/>
      <c r="EC158" s="117"/>
      <c r="ED158" s="117"/>
      <c r="EE158" s="117"/>
      <c r="EF158" s="117"/>
      <c r="EG158" s="117" t="s">
        <v>18</v>
      </c>
      <c r="EH158" s="117"/>
      <c r="EI158" s="117"/>
      <c r="EJ158" s="117"/>
      <c r="EK158" s="117"/>
      <c r="EL158" s="117"/>
      <c r="EM158" s="5" t="s">
        <v>16</v>
      </c>
      <c r="EN158" s="117" t="s">
        <v>17</v>
      </c>
      <c r="EO158" s="117"/>
      <c r="EP158" s="117"/>
      <c r="EQ158" s="117"/>
      <c r="ER158" s="117"/>
      <c r="ES158" s="117"/>
      <c r="ET158" s="117" t="s">
        <v>18</v>
      </c>
      <c r="EU158" s="117"/>
      <c r="EV158" s="117"/>
      <c r="EW158" s="117"/>
      <c r="EX158" s="117"/>
      <c r="EY158" s="117"/>
      <c r="EZ158" s="5" t="s">
        <v>16</v>
      </c>
      <c r="FA158" s="117" t="s">
        <v>17</v>
      </c>
      <c r="FB158" s="117"/>
      <c r="FC158" s="117"/>
      <c r="FD158" s="117"/>
      <c r="FE158" s="117"/>
      <c r="FF158" s="117"/>
      <c r="FG158" s="117" t="s">
        <v>18</v>
      </c>
      <c r="FH158" s="117"/>
      <c r="FI158" s="117"/>
      <c r="FJ158" s="117"/>
      <c r="FK158" s="117"/>
      <c r="FL158" s="117"/>
      <c r="FM158" s="5" t="s">
        <v>16</v>
      </c>
      <c r="FN158" s="5" t="s">
        <v>16</v>
      </c>
      <c r="FO158" s="116"/>
    </row>
    <row r="159" spans="1:171" x14ac:dyDescent="0.35">
      <c r="A159" s="55" t="s">
        <v>120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105" t="s">
        <v>8</v>
      </c>
      <c r="L159" s="106"/>
      <c r="M159" s="107"/>
      <c r="N159" s="105" t="s">
        <v>9</v>
      </c>
      <c r="O159" s="106"/>
      <c r="P159" s="107"/>
      <c r="Q159" s="105" t="s">
        <v>8</v>
      </c>
      <c r="R159" s="106"/>
      <c r="S159" s="107"/>
      <c r="T159" s="105" t="s">
        <v>9</v>
      </c>
      <c r="U159" s="106"/>
      <c r="V159" s="107"/>
      <c r="W159" s="5"/>
      <c r="X159" s="105" t="s">
        <v>8</v>
      </c>
      <c r="Y159" s="106"/>
      <c r="Z159" s="107"/>
      <c r="AA159" s="105" t="s">
        <v>9</v>
      </c>
      <c r="AB159" s="106"/>
      <c r="AC159" s="107"/>
      <c r="AD159" s="105" t="s">
        <v>8</v>
      </c>
      <c r="AE159" s="106"/>
      <c r="AF159" s="107"/>
      <c r="AG159" s="105" t="s">
        <v>9</v>
      </c>
      <c r="AH159" s="106"/>
      <c r="AI159" s="107"/>
      <c r="AJ159" s="5"/>
      <c r="AK159" s="105" t="s">
        <v>8</v>
      </c>
      <c r="AL159" s="106"/>
      <c r="AM159" s="107"/>
      <c r="AN159" s="105" t="s">
        <v>9</v>
      </c>
      <c r="AO159" s="106"/>
      <c r="AP159" s="107"/>
      <c r="AQ159" s="105" t="s">
        <v>8</v>
      </c>
      <c r="AR159" s="106"/>
      <c r="AS159" s="107"/>
      <c r="AT159" s="105" t="s">
        <v>9</v>
      </c>
      <c r="AU159" s="106"/>
      <c r="AV159" s="107"/>
      <c r="AW159" s="5"/>
      <c r="AX159" s="5"/>
      <c r="AY159" s="105" t="s">
        <v>8</v>
      </c>
      <c r="AZ159" s="106"/>
      <c r="BA159" s="107"/>
      <c r="BB159" s="105" t="s">
        <v>9</v>
      </c>
      <c r="BC159" s="106"/>
      <c r="BD159" s="107"/>
      <c r="BE159" s="105" t="s">
        <v>8</v>
      </c>
      <c r="BF159" s="106"/>
      <c r="BG159" s="107"/>
      <c r="BH159" s="105" t="s">
        <v>9</v>
      </c>
      <c r="BI159" s="106"/>
      <c r="BJ159" s="107"/>
      <c r="BK159" s="5"/>
      <c r="BL159" s="105" t="s">
        <v>8</v>
      </c>
      <c r="BM159" s="106"/>
      <c r="BN159" s="107"/>
      <c r="BO159" s="105" t="s">
        <v>9</v>
      </c>
      <c r="BP159" s="106"/>
      <c r="BQ159" s="107"/>
      <c r="BR159" s="105" t="s">
        <v>8</v>
      </c>
      <c r="BS159" s="106"/>
      <c r="BT159" s="107"/>
      <c r="BU159" s="105" t="s">
        <v>9</v>
      </c>
      <c r="BV159" s="106"/>
      <c r="BW159" s="107"/>
      <c r="BX159" s="5"/>
      <c r="BY159" s="105" t="s">
        <v>8</v>
      </c>
      <c r="BZ159" s="106"/>
      <c r="CA159" s="107"/>
      <c r="CB159" s="105" t="s">
        <v>9</v>
      </c>
      <c r="CC159" s="106"/>
      <c r="CD159" s="107"/>
      <c r="CE159" s="105" t="s">
        <v>8</v>
      </c>
      <c r="CF159" s="106"/>
      <c r="CG159" s="107"/>
      <c r="CH159" s="105" t="s">
        <v>9</v>
      </c>
      <c r="CI159" s="106"/>
      <c r="CJ159" s="107"/>
      <c r="CK159" s="5"/>
      <c r="CL159" s="5"/>
      <c r="CM159" s="105" t="s">
        <v>8</v>
      </c>
      <c r="CN159" s="106"/>
      <c r="CO159" s="107"/>
      <c r="CP159" s="105" t="s">
        <v>9</v>
      </c>
      <c r="CQ159" s="106"/>
      <c r="CR159" s="107"/>
      <c r="CS159" s="105" t="s">
        <v>8</v>
      </c>
      <c r="CT159" s="106"/>
      <c r="CU159" s="107"/>
      <c r="CV159" s="105" t="s">
        <v>9</v>
      </c>
      <c r="CW159" s="106"/>
      <c r="CX159" s="107"/>
      <c r="CY159" s="5"/>
      <c r="CZ159" s="105" t="s">
        <v>8</v>
      </c>
      <c r="DA159" s="106"/>
      <c r="DB159" s="107"/>
      <c r="DC159" s="105" t="s">
        <v>9</v>
      </c>
      <c r="DD159" s="106"/>
      <c r="DE159" s="107"/>
      <c r="DF159" s="105" t="s">
        <v>8</v>
      </c>
      <c r="DG159" s="106"/>
      <c r="DH159" s="107"/>
      <c r="DI159" s="105" t="s">
        <v>9</v>
      </c>
      <c r="DJ159" s="106"/>
      <c r="DK159" s="107"/>
      <c r="DL159" s="5"/>
      <c r="DM159" s="105" t="s">
        <v>8</v>
      </c>
      <c r="DN159" s="106"/>
      <c r="DO159" s="107"/>
      <c r="DP159" s="105" t="s">
        <v>9</v>
      </c>
      <c r="DQ159" s="106"/>
      <c r="DR159" s="107"/>
      <c r="DS159" s="105" t="s">
        <v>8</v>
      </c>
      <c r="DT159" s="106"/>
      <c r="DU159" s="107"/>
      <c r="DV159" s="105" t="s">
        <v>9</v>
      </c>
      <c r="DW159" s="106"/>
      <c r="DX159" s="107"/>
      <c r="DY159" s="5"/>
      <c r="DZ159" s="5"/>
      <c r="EA159" s="105" t="s">
        <v>8</v>
      </c>
      <c r="EB159" s="106"/>
      <c r="EC159" s="107"/>
      <c r="ED159" s="105" t="s">
        <v>9</v>
      </c>
      <c r="EE159" s="106"/>
      <c r="EF159" s="107"/>
      <c r="EG159" s="105" t="s">
        <v>8</v>
      </c>
      <c r="EH159" s="106"/>
      <c r="EI159" s="107"/>
      <c r="EJ159" s="105" t="s">
        <v>9</v>
      </c>
      <c r="EK159" s="106"/>
      <c r="EL159" s="107"/>
      <c r="EM159" s="5"/>
      <c r="EN159" s="105" t="s">
        <v>8</v>
      </c>
      <c r="EO159" s="106"/>
      <c r="EP159" s="107"/>
      <c r="EQ159" s="105" t="s">
        <v>9</v>
      </c>
      <c r="ER159" s="106"/>
      <c r="ES159" s="107"/>
      <c r="ET159" s="105" t="s">
        <v>8</v>
      </c>
      <c r="EU159" s="106"/>
      <c r="EV159" s="107"/>
      <c r="EW159" s="105" t="s">
        <v>9</v>
      </c>
      <c r="EX159" s="106"/>
      <c r="EY159" s="107"/>
      <c r="EZ159" s="5"/>
      <c r="FA159" s="105" t="s">
        <v>8</v>
      </c>
      <c r="FB159" s="106"/>
      <c r="FC159" s="107"/>
      <c r="FD159" s="105" t="s">
        <v>9</v>
      </c>
      <c r="FE159" s="106"/>
      <c r="FF159" s="107"/>
      <c r="FG159" s="105" t="s">
        <v>8</v>
      </c>
      <c r="FH159" s="106"/>
      <c r="FI159" s="107"/>
      <c r="FJ159" s="105" t="s">
        <v>9</v>
      </c>
      <c r="FK159" s="106"/>
      <c r="FL159" s="107"/>
      <c r="FM159" s="5"/>
      <c r="FN159" s="5"/>
      <c r="FO159" s="112"/>
    </row>
    <row r="160" spans="1:171" x14ac:dyDescent="0.35">
      <c r="A160" s="33"/>
      <c r="B160" s="46"/>
      <c r="C160" s="57"/>
      <c r="D160" s="47"/>
      <c r="E160" s="57"/>
      <c r="F160" s="57"/>
      <c r="G160" s="57"/>
      <c r="H160" s="57"/>
      <c r="I160" s="57"/>
      <c r="J160" s="57"/>
      <c r="K160" s="33" t="s">
        <v>5</v>
      </c>
      <c r="L160" s="33" t="s">
        <v>6</v>
      </c>
      <c r="M160" s="33" t="s">
        <v>7</v>
      </c>
      <c r="N160" s="33" t="s">
        <v>5</v>
      </c>
      <c r="O160" s="33" t="s">
        <v>6</v>
      </c>
      <c r="P160" s="33" t="s">
        <v>7</v>
      </c>
      <c r="Q160" s="33" t="s">
        <v>5</v>
      </c>
      <c r="R160" s="33" t="s">
        <v>6</v>
      </c>
      <c r="S160" s="33" t="s">
        <v>7</v>
      </c>
      <c r="T160" s="33" t="s">
        <v>5</v>
      </c>
      <c r="U160" s="33" t="s">
        <v>6</v>
      </c>
      <c r="V160" s="33" t="s">
        <v>7</v>
      </c>
      <c r="W160" s="33"/>
      <c r="X160" s="33" t="s">
        <v>5</v>
      </c>
      <c r="Y160" s="33" t="s">
        <v>6</v>
      </c>
      <c r="Z160" s="33" t="s">
        <v>7</v>
      </c>
      <c r="AA160" s="33" t="s">
        <v>5</v>
      </c>
      <c r="AB160" s="33" t="s">
        <v>6</v>
      </c>
      <c r="AC160" s="33" t="s">
        <v>7</v>
      </c>
      <c r="AD160" s="33" t="s">
        <v>5</v>
      </c>
      <c r="AE160" s="33" t="s">
        <v>6</v>
      </c>
      <c r="AF160" s="33" t="s">
        <v>7</v>
      </c>
      <c r="AG160" s="33" t="s">
        <v>5</v>
      </c>
      <c r="AH160" s="33" t="s">
        <v>6</v>
      </c>
      <c r="AI160" s="33" t="s">
        <v>7</v>
      </c>
      <c r="AJ160" s="33"/>
      <c r="AK160" s="33" t="s">
        <v>5</v>
      </c>
      <c r="AL160" s="33" t="s">
        <v>6</v>
      </c>
      <c r="AM160" s="33" t="s">
        <v>7</v>
      </c>
      <c r="AN160" s="33" t="s">
        <v>5</v>
      </c>
      <c r="AO160" s="33" t="s">
        <v>6</v>
      </c>
      <c r="AP160" s="33" t="s">
        <v>7</v>
      </c>
      <c r="AQ160" s="33" t="s">
        <v>5</v>
      </c>
      <c r="AR160" s="33" t="s">
        <v>6</v>
      </c>
      <c r="AS160" s="33" t="s">
        <v>7</v>
      </c>
      <c r="AT160" s="33" t="s">
        <v>5</v>
      </c>
      <c r="AU160" s="33" t="s">
        <v>6</v>
      </c>
      <c r="AV160" s="33" t="s">
        <v>7</v>
      </c>
      <c r="AW160" s="33"/>
      <c r="AX160" s="33"/>
      <c r="AY160" s="33" t="s">
        <v>5</v>
      </c>
      <c r="AZ160" s="33" t="s">
        <v>6</v>
      </c>
      <c r="BA160" s="33" t="s">
        <v>7</v>
      </c>
      <c r="BB160" s="33" t="s">
        <v>5</v>
      </c>
      <c r="BC160" s="33" t="s">
        <v>6</v>
      </c>
      <c r="BD160" s="33" t="s">
        <v>7</v>
      </c>
      <c r="BE160" s="33" t="s">
        <v>5</v>
      </c>
      <c r="BF160" s="33" t="s">
        <v>6</v>
      </c>
      <c r="BG160" s="33" t="s">
        <v>7</v>
      </c>
      <c r="BH160" s="33" t="s">
        <v>5</v>
      </c>
      <c r="BI160" s="33" t="s">
        <v>6</v>
      </c>
      <c r="BJ160" s="33" t="s">
        <v>7</v>
      </c>
      <c r="BK160" s="33"/>
      <c r="BL160" s="33" t="s">
        <v>5</v>
      </c>
      <c r="BM160" s="33" t="s">
        <v>6</v>
      </c>
      <c r="BN160" s="33" t="s">
        <v>7</v>
      </c>
      <c r="BO160" s="33" t="s">
        <v>5</v>
      </c>
      <c r="BP160" s="33" t="s">
        <v>6</v>
      </c>
      <c r="BQ160" s="33" t="s">
        <v>7</v>
      </c>
      <c r="BR160" s="33" t="s">
        <v>5</v>
      </c>
      <c r="BS160" s="33" t="s">
        <v>6</v>
      </c>
      <c r="BT160" s="33" t="s">
        <v>7</v>
      </c>
      <c r="BU160" s="33" t="s">
        <v>5</v>
      </c>
      <c r="BV160" s="33" t="s">
        <v>6</v>
      </c>
      <c r="BW160" s="33" t="s">
        <v>7</v>
      </c>
      <c r="BX160" s="33"/>
      <c r="BY160" s="33" t="s">
        <v>5</v>
      </c>
      <c r="BZ160" s="33" t="s">
        <v>6</v>
      </c>
      <c r="CA160" s="33" t="s">
        <v>7</v>
      </c>
      <c r="CB160" s="33" t="s">
        <v>5</v>
      </c>
      <c r="CC160" s="33" t="s">
        <v>6</v>
      </c>
      <c r="CD160" s="33" t="s">
        <v>7</v>
      </c>
      <c r="CE160" s="33" t="s">
        <v>5</v>
      </c>
      <c r="CF160" s="33" t="s">
        <v>6</v>
      </c>
      <c r="CG160" s="33" t="s">
        <v>7</v>
      </c>
      <c r="CH160" s="33" t="s">
        <v>5</v>
      </c>
      <c r="CI160" s="33" t="s">
        <v>6</v>
      </c>
      <c r="CJ160" s="33" t="s">
        <v>7</v>
      </c>
      <c r="CK160" s="33"/>
      <c r="CL160" s="33"/>
      <c r="CM160" s="33" t="s">
        <v>5</v>
      </c>
      <c r="CN160" s="33" t="s">
        <v>6</v>
      </c>
      <c r="CO160" s="33" t="s">
        <v>7</v>
      </c>
      <c r="CP160" s="33" t="s">
        <v>5</v>
      </c>
      <c r="CQ160" s="33" t="s">
        <v>6</v>
      </c>
      <c r="CR160" s="33" t="s">
        <v>7</v>
      </c>
      <c r="CS160" s="33" t="s">
        <v>5</v>
      </c>
      <c r="CT160" s="33" t="s">
        <v>6</v>
      </c>
      <c r="CU160" s="33" t="s">
        <v>7</v>
      </c>
      <c r="CV160" s="33" t="s">
        <v>5</v>
      </c>
      <c r="CW160" s="33" t="s">
        <v>6</v>
      </c>
      <c r="CX160" s="33" t="s">
        <v>7</v>
      </c>
      <c r="CY160" s="33"/>
      <c r="CZ160" s="33" t="s">
        <v>5</v>
      </c>
      <c r="DA160" s="33" t="s">
        <v>6</v>
      </c>
      <c r="DB160" s="33" t="s">
        <v>7</v>
      </c>
      <c r="DC160" s="33" t="s">
        <v>5</v>
      </c>
      <c r="DD160" s="33" t="s">
        <v>6</v>
      </c>
      <c r="DE160" s="33" t="s">
        <v>7</v>
      </c>
      <c r="DF160" s="33" t="s">
        <v>5</v>
      </c>
      <c r="DG160" s="33" t="s">
        <v>6</v>
      </c>
      <c r="DH160" s="33" t="s">
        <v>7</v>
      </c>
      <c r="DI160" s="33" t="s">
        <v>5</v>
      </c>
      <c r="DJ160" s="33" t="s">
        <v>6</v>
      </c>
      <c r="DK160" s="33" t="s">
        <v>7</v>
      </c>
      <c r="DL160" s="33"/>
      <c r="DM160" s="33" t="s">
        <v>5</v>
      </c>
      <c r="DN160" s="33" t="s">
        <v>6</v>
      </c>
      <c r="DO160" s="33" t="s">
        <v>7</v>
      </c>
      <c r="DP160" s="33" t="s">
        <v>5</v>
      </c>
      <c r="DQ160" s="33" t="s">
        <v>6</v>
      </c>
      <c r="DR160" s="33" t="s">
        <v>7</v>
      </c>
      <c r="DS160" s="33" t="s">
        <v>5</v>
      </c>
      <c r="DT160" s="33" t="s">
        <v>6</v>
      </c>
      <c r="DU160" s="33" t="s">
        <v>7</v>
      </c>
      <c r="DV160" s="33" t="s">
        <v>5</v>
      </c>
      <c r="DW160" s="33" t="s">
        <v>6</v>
      </c>
      <c r="DX160" s="33" t="s">
        <v>7</v>
      </c>
      <c r="DY160" s="33"/>
      <c r="DZ160" s="33"/>
      <c r="EA160" s="33" t="s">
        <v>5</v>
      </c>
      <c r="EB160" s="33" t="s">
        <v>6</v>
      </c>
      <c r="EC160" s="33" t="s">
        <v>7</v>
      </c>
      <c r="ED160" s="33" t="s">
        <v>5</v>
      </c>
      <c r="EE160" s="33" t="s">
        <v>6</v>
      </c>
      <c r="EF160" s="33" t="s">
        <v>7</v>
      </c>
      <c r="EG160" s="33" t="s">
        <v>5</v>
      </c>
      <c r="EH160" s="33" t="s">
        <v>6</v>
      </c>
      <c r="EI160" s="33" t="s">
        <v>7</v>
      </c>
      <c r="EJ160" s="33" t="s">
        <v>5</v>
      </c>
      <c r="EK160" s="33" t="s">
        <v>6</v>
      </c>
      <c r="EL160" s="33" t="s">
        <v>7</v>
      </c>
      <c r="EM160" s="33"/>
      <c r="EN160" s="33" t="s">
        <v>5</v>
      </c>
      <c r="EO160" s="33" t="s">
        <v>6</v>
      </c>
      <c r="EP160" s="33" t="s">
        <v>7</v>
      </c>
      <c r="EQ160" s="33" t="s">
        <v>5</v>
      </c>
      <c r="ER160" s="33" t="s">
        <v>6</v>
      </c>
      <c r="ES160" s="33" t="s">
        <v>7</v>
      </c>
      <c r="ET160" s="33" t="s">
        <v>5</v>
      </c>
      <c r="EU160" s="33" t="s">
        <v>6</v>
      </c>
      <c r="EV160" s="33" t="s">
        <v>7</v>
      </c>
      <c r="EW160" s="33" t="s">
        <v>5</v>
      </c>
      <c r="EX160" s="33" t="s">
        <v>6</v>
      </c>
      <c r="EY160" s="33" t="s">
        <v>7</v>
      </c>
      <c r="EZ160" s="33"/>
      <c r="FA160" s="33" t="s">
        <v>5</v>
      </c>
      <c r="FB160" s="33" t="s">
        <v>6</v>
      </c>
      <c r="FC160" s="33" t="s">
        <v>7</v>
      </c>
      <c r="FD160" s="33" t="s">
        <v>5</v>
      </c>
      <c r="FE160" s="33" t="s">
        <v>6</v>
      </c>
      <c r="FF160" s="33" t="s">
        <v>7</v>
      </c>
      <c r="FG160" s="33" t="s">
        <v>5</v>
      </c>
      <c r="FH160" s="33" t="s">
        <v>6</v>
      </c>
      <c r="FI160" s="33" t="s">
        <v>7</v>
      </c>
      <c r="FJ160" s="33" t="s">
        <v>5</v>
      </c>
      <c r="FK160" s="33" t="s">
        <v>6</v>
      </c>
      <c r="FL160" s="33" t="s">
        <v>7</v>
      </c>
      <c r="FM160" s="33"/>
      <c r="FN160" s="33"/>
      <c r="FO160" s="33"/>
    </row>
    <row r="161" spans="1:171" x14ac:dyDescent="0.35">
      <c r="A161" s="34" t="s">
        <v>4</v>
      </c>
      <c r="B161" s="40" t="s">
        <v>117</v>
      </c>
      <c r="C161" s="58"/>
      <c r="D161" s="41"/>
      <c r="E161" s="58"/>
      <c r="F161" s="58"/>
      <c r="G161" s="58"/>
      <c r="H161" s="58"/>
      <c r="I161" s="58"/>
      <c r="J161" s="58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>
        <f t="shared" ref="W161:W199" si="253">SUM(K161:V161)</f>
        <v>0</v>
      </c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>
        <f t="shared" ref="AJ161:AJ175" si="254">SUM(X161:AI161)</f>
        <v>0</v>
      </c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>
        <f t="shared" ref="AW161:AW199" si="255">SUM(AK161:AV161)</f>
        <v>0</v>
      </c>
      <c r="AX161" s="35">
        <f t="shared" ref="AX161:AX224" si="256">+W161+AJ161+AW161</f>
        <v>0</v>
      </c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>
        <f t="shared" ref="BK161:BK199" si="257">SUM(AY161:BJ161)</f>
        <v>0</v>
      </c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>
        <f t="shared" ref="BX161:BX201" si="258">SUM(BL161:BW161)</f>
        <v>0</v>
      </c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>
        <f t="shared" ref="CK161:CK202" si="259">SUM(BY161:CJ161)</f>
        <v>0</v>
      </c>
      <c r="CL161" s="35">
        <f t="shared" ref="CL161:CL201" si="260">+BK161+BX161+CK161</f>
        <v>0</v>
      </c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>
        <f t="shared" ref="CY161:CY224" si="261">SUM(CM161:CX161)</f>
        <v>0</v>
      </c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>
        <f t="shared" ref="DL161:DL201" si="262">SUM(CZ161:DK161)</f>
        <v>0</v>
      </c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>
        <f t="shared" ref="DY161:DY224" si="263">SUM(DM161:DX161)</f>
        <v>0</v>
      </c>
      <c r="DZ161" s="35">
        <f t="shared" ref="DZ161:DZ201" si="264">+CY161+DL161+DY161</f>
        <v>0</v>
      </c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>
        <f t="shared" ref="EM161:EM224" si="265">SUM(EA161:EL161)</f>
        <v>0</v>
      </c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>
        <f t="shared" ref="EZ161:EZ201" si="266">SUM(EN161:EY161)</f>
        <v>0</v>
      </c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>
        <f t="shared" ref="FM161:FM224" si="267">SUM(FA161:FL161)</f>
        <v>0</v>
      </c>
      <c r="FN161" s="35">
        <f t="shared" ref="FN161:FN201" si="268">+EM161+EZ161+FM161</f>
        <v>0</v>
      </c>
      <c r="FO161" s="35">
        <f t="shared" ref="FO161:FO224" si="269">+AX161+CL161+DZ161+FN161</f>
        <v>0</v>
      </c>
    </row>
    <row r="162" spans="1:171" x14ac:dyDescent="0.35">
      <c r="A162" s="34"/>
      <c r="B162" s="40"/>
      <c r="C162" s="58"/>
      <c r="D162" s="41" t="s">
        <v>134</v>
      </c>
      <c r="E162" s="58"/>
      <c r="F162" s="58"/>
      <c r="G162" s="58"/>
      <c r="H162" s="58"/>
      <c r="I162" s="58"/>
      <c r="J162" s="61">
        <f t="shared" ref="J162:J200" si="270">+H162+I162</f>
        <v>0</v>
      </c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>
        <f t="shared" si="253"/>
        <v>0</v>
      </c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>
        <f t="shared" si="254"/>
        <v>0</v>
      </c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>
        <f t="shared" si="255"/>
        <v>0</v>
      </c>
      <c r="AX162" s="35">
        <f t="shared" si="256"/>
        <v>0</v>
      </c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>
        <f t="shared" si="257"/>
        <v>0</v>
      </c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>
        <f t="shared" si="258"/>
        <v>0</v>
      </c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>
        <f t="shared" si="259"/>
        <v>0</v>
      </c>
      <c r="CL162" s="35">
        <f t="shared" si="260"/>
        <v>0</v>
      </c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>
        <f t="shared" si="261"/>
        <v>0</v>
      </c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>
        <f t="shared" si="262"/>
        <v>0</v>
      </c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>
        <f t="shared" si="263"/>
        <v>0</v>
      </c>
      <c r="DZ162" s="35">
        <f t="shared" si="264"/>
        <v>0</v>
      </c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>
        <f t="shared" si="265"/>
        <v>0</v>
      </c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>
        <f t="shared" si="266"/>
        <v>0</v>
      </c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>
        <f t="shared" si="267"/>
        <v>0</v>
      </c>
      <c r="FN162" s="35">
        <f t="shared" si="268"/>
        <v>0</v>
      </c>
      <c r="FO162" s="35">
        <f t="shared" si="269"/>
        <v>0</v>
      </c>
    </row>
    <row r="163" spans="1:171" x14ac:dyDescent="0.35">
      <c r="A163" s="34"/>
      <c r="B163" s="40"/>
      <c r="C163" s="58"/>
      <c r="D163" s="41" t="s">
        <v>135</v>
      </c>
      <c r="E163" s="58"/>
      <c r="F163" s="58"/>
      <c r="G163" s="58"/>
      <c r="H163" s="58"/>
      <c r="I163" s="58"/>
      <c r="J163" s="61">
        <f t="shared" si="270"/>
        <v>0</v>
      </c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>
        <f t="shared" si="253"/>
        <v>0</v>
      </c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>
        <f t="shared" si="254"/>
        <v>0</v>
      </c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>
        <f t="shared" si="255"/>
        <v>0</v>
      </c>
      <c r="AX163" s="35">
        <f t="shared" si="256"/>
        <v>0</v>
      </c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>
        <f t="shared" si="257"/>
        <v>0</v>
      </c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>
        <f t="shared" si="258"/>
        <v>0</v>
      </c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>
        <f t="shared" si="259"/>
        <v>0</v>
      </c>
      <c r="CL163" s="35">
        <f t="shared" si="260"/>
        <v>0</v>
      </c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>
        <f t="shared" si="261"/>
        <v>0</v>
      </c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>
        <f t="shared" si="262"/>
        <v>0</v>
      </c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>
        <f t="shared" si="263"/>
        <v>0</v>
      </c>
      <c r="DZ163" s="35">
        <f t="shared" si="264"/>
        <v>0</v>
      </c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>
        <f t="shared" si="265"/>
        <v>0</v>
      </c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>
        <f t="shared" si="266"/>
        <v>0</v>
      </c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>
        <f t="shared" si="267"/>
        <v>0</v>
      </c>
      <c r="FN163" s="35">
        <f t="shared" si="268"/>
        <v>0</v>
      </c>
      <c r="FO163" s="35">
        <f t="shared" si="269"/>
        <v>0</v>
      </c>
    </row>
    <row r="164" spans="1:171" x14ac:dyDescent="0.35">
      <c r="A164" s="34"/>
      <c r="B164" s="40"/>
      <c r="C164" s="58"/>
      <c r="D164" s="80" t="s">
        <v>136</v>
      </c>
      <c r="E164" s="58" t="s">
        <v>8</v>
      </c>
      <c r="F164" s="58" t="s">
        <v>17</v>
      </c>
      <c r="G164" s="58"/>
      <c r="H164" s="58"/>
      <c r="I164" s="58"/>
      <c r="J164" s="61">
        <f t="shared" si="270"/>
        <v>0</v>
      </c>
      <c r="K164" s="35">
        <v>5600</v>
      </c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>
        <f t="shared" si="253"/>
        <v>5600</v>
      </c>
      <c r="X164" s="35">
        <v>5600</v>
      </c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>
        <f t="shared" si="254"/>
        <v>5600</v>
      </c>
      <c r="AK164" s="35">
        <v>5600</v>
      </c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>
        <f t="shared" si="255"/>
        <v>5600</v>
      </c>
      <c r="AX164" s="35">
        <f t="shared" si="256"/>
        <v>16800</v>
      </c>
      <c r="AY164" s="35">
        <v>5600</v>
      </c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>
        <f t="shared" si="257"/>
        <v>5600</v>
      </c>
      <c r="BL164" s="35">
        <v>5600</v>
      </c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>
        <f t="shared" si="258"/>
        <v>5600</v>
      </c>
      <c r="BY164" s="35">
        <v>5600</v>
      </c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>
        <f t="shared" si="259"/>
        <v>5600</v>
      </c>
      <c r="CL164" s="35">
        <f t="shared" si="260"/>
        <v>16800</v>
      </c>
      <c r="CM164" s="35">
        <v>5600</v>
      </c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>
        <f t="shared" si="261"/>
        <v>5600</v>
      </c>
      <c r="CZ164" s="35">
        <v>5600</v>
      </c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>
        <f t="shared" si="262"/>
        <v>5600</v>
      </c>
      <c r="DM164" s="35">
        <v>5600</v>
      </c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>
        <f t="shared" si="263"/>
        <v>5600</v>
      </c>
      <c r="DZ164" s="35">
        <f t="shared" si="264"/>
        <v>16800</v>
      </c>
      <c r="EA164" s="35">
        <v>5600</v>
      </c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>
        <f t="shared" si="265"/>
        <v>5600</v>
      </c>
      <c r="EN164" s="35">
        <v>5600</v>
      </c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>
        <f t="shared" si="266"/>
        <v>5600</v>
      </c>
      <c r="FA164" s="35">
        <v>5600</v>
      </c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>
        <f t="shared" si="267"/>
        <v>5600</v>
      </c>
      <c r="FN164" s="35">
        <f t="shared" si="268"/>
        <v>16800</v>
      </c>
      <c r="FO164" s="35">
        <f t="shared" si="269"/>
        <v>67200</v>
      </c>
    </row>
    <row r="165" spans="1:171" x14ac:dyDescent="0.35">
      <c r="A165" s="34"/>
      <c r="B165" s="40"/>
      <c r="C165" s="58"/>
      <c r="D165" s="80" t="s">
        <v>137</v>
      </c>
      <c r="E165" s="58" t="s">
        <v>8</v>
      </c>
      <c r="F165" s="58" t="s">
        <v>17</v>
      </c>
      <c r="G165" s="58"/>
      <c r="H165" s="58"/>
      <c r="I165" s="58"/>
      <c r="J165" s="61">
        <f t="shared" si="270"/>
        <v>0</v>
      </c>
      <c r="K165" s="35">
        <v>5600</v>
      </c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>
        <f t="shared" si="253"/>
        <v>5600</v>
      </c>
      <c r="X165" s="35">
        <v>5600</v>
      </c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>
        <f t="shared" si="254"/>
        <v>5600</v>
      </c>
      <c r="AK165" s="35">
        <v>5600</v>
      </c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>
        <f t="shared" si="255"/>
        <v>5600</v>
      </c>
      <c r="AX165" s="35">
        <f t="shared" si="256"/>
        <v>16800</v>
      </c>
      <c r="AY165" s="35">
        <v>5600</v>
      </c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>
        <f t="shared" si="257"/>
        <v>5600</v>
      </c>
      <c r="BL165" s="35">
        <v>5600</v>
      </c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>
        <f t="shared" si="258"/>
        <v>5600</v>
      </c>
      <c r="BY165" s="35">
        <v>5600</v>
      </c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>
        <f t="shared" si="259"/>
        <v>5600</v>
      </c>
      <c r="CL165" s="35">
        <f t="shared" si="260"/>
        <v>16800</v>
      </c>
      <c r="CM165" s="35">
        <v>5600</v>
      </c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>
        <f t="shared" si="261"/>
        <v>5600</v>
      </c>
      <c r="CZ165" s="35">
        <v>5600</v>
      </c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>
        <f t="shared" si="262"/>
        <v>5600</v>
      </c>
      <c r="DM165" s="35">
        <v>5600</v>
      </c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>
        <f t="shared" si="263"/>
        <v>5600</v>
      </c>
      <c r="DZ165" s="35">
        <f t="shared" si="264"/>
        <v>16800</v>
      </c>
      <c r="EA165" s="35">
        <v>5600</v>
      </c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>
        <f t="shared" si="265"/>
        <v>5600</v>
      </c>
      <c r="EN165" s="35">
        <v>5600</v>
      </c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>
        <f t="shared" si="266"/>
        <v>5600</v>
      </c>
      <c r="FA165" s="35">
        <v>5600</v>
      </c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>
        <f t="shared" si="267"/>
        <v>5600</v>
      </c>
      <c r="FN165" s="35">
        <f t="shared" si="268"/>
        <v>16800</v>
      </c>
      <c r="FO165" s="35">
        <f t="shared" si="269"/>
        <v>67200</v>
      </c>
    </row>
    <row r="166" spans="1:171" x14ac:dyDescent="0.35">
      <c r="A166" s="34"/>
      <c r="B166" s="40"/>
      <c r="C166" s="58"/>
      <c r="D166" s="41" t="s">
        <v>138</v>
      </c>
      <c r="E166" s="58"/>
      <c r="F166" s="58"/>
      <c r="G166" s="58"/>
      <c r="H166" s="58"/>
      <c r="I166" s="58"/>
      <c r="J166" s="61">
        <f t="shared" si="270"/>
        <v>0</v>
      </c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>
        <f t="shared" si="253"/>
        <v>0</v>
      </c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>
        <f t="shared" si="254"/>
        <v>0</v>
      </c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>
        <f t="shared" si="255"/>
        <v>0</v>
      </c>
      <c r="AX166" s="35">
        <f t="shared" si="256"/>
        <v>0</v>
      </c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>
        <f t="shared" si="257"/>
        <v>0</v>
      </c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>
        <f t="shared" si="258"/>
        <v>0</v>
      </c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>
        <f t="shared" si="259"/>
        <v>0</v>
      </c>
      <c r="CL166" s="35">
        <f t="shared" si="260"/>
        <v>0</v>
      </c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>
        <f t="shared" si="261"/>
        <v>0</v>
      </c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>
        <f t="shared" si="262"/>
        <v>0</v>
      </c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>
        <f t="shared" si="263"/>
        <v>0</v>
      </c>
      <c r="DZ166" s="35">
        <f t="shared" si="264"/>
        <v>0</v>
      </c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>
        <f t="shared" si="265"/>
        <v>0</v>
      </c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>
        <f t="shared" si="266"/>
        <v>0</v>
      </c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>
        <f t="shared" si="267"/>
        <v>0</v>
      </c>
      <c r="FN166" s="35">
        <f t="shared" si="268"/>
        <v>0</v>
      </c>
      <c r="FO166" s="35">
        <f t="shared" si="269"/>
        <v>0</v>
      </c>
    </row>
    <row r="167" spans="1:171" x14ac:dyDescent="0.35">
      <c r="A167" s="34"/>
      <c r="B167" s="40"/>
      <c r="C167" s="58"/>
      <c r="D167" s="41" t="s">
        <v>139</v>
      </c>
      <c r="E167" s="58"/>
      <c r="F167" s="58"/>
      <c r="G167" s="58"/>
      <c r="H167" s="58"/>
      <c r="I167" s="58"/>
      <c r="J167" s="61">
        <f t="shared" si="270"/>
        <v>0</v>
      </c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>
        <f t="shared" si="253"/>
        <v>0</v>
      </c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>
        <f t="shared" si="254"/>
        <v>0</v>
      </c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>
        <f t="shared" si="255"/>
        <v>0</v>
      </c>
      <c r="AX167" s="35">
        <f t="shared" si="256"/>
        <v>0</v>
      </c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>
        <f t="shared" si="257"/>
        <v>0</v>
      </c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>
        <f t="shared" si="258"/>
        <v>0</v>
      </c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>
        <f t="shared" si="259"/>
        <v>0</v>
      </c>
      <c r="CL167" s="35">
        <f t="shared" si="260"/>
        <v>0</v>
      </c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>
        <f t="shared" si="261"/>
        <v>0</v>
      </c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>
        <f t="shared" si="262"/>
        <v>0</v>
      </c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>
        <f t="shared" si="263"/>
        <v>0</v>
      </c>
      <c r="DZ167" s="35">
        <f t="shared" si="264"/>
        <v>0</v>
      </c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>
        <f t="shared" si="265"/>
        <v>0</v>
      </c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>
        <f t="shared" si="266"/>
        <v>0</v>
      </c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>
        <f t="shared" si="267"/>
        <v>0</v>
      </c>
      <c r="FN167" s="35">
        <f t="shared" si="268"/>
        <v>0</v>
      </c>
      <c r="FO167" s="35">
        <f t="shared" si="269"/>
        <v>0</v>
      </c>
    </row>
    <row r="168" spans="1:171" x14ac:dyDescent="0.35">
      <c r="A168" s="34"/>
      <c r="B168" s="40"/>
      <c r="C168" s="58"/>
      <c r="D168" s="41" t="s">
        <v>140</v>
      </c>
      <c r="E168" s="58"/>
      <c r="F168" s="58"/>
      <c r="G168" s="58"/>
      <c r="H168" s="58"/>
      <c r="I168" s="58"/>
      <c r="J168" s="61">
        <f t="shared" si="270"/>
        <v>0</v>
      </c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>
        <f t="shared" si="253"/>
        <v>0</v>
      </c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>
        <f t="shared" si="254"/>
        <v>0</v>
      </c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>
        <f t="shared" si="255"/>
        <v>0</v>
      </c>
      <c r="AX168" s="35">
        <f t="shared" si="256"/>
        <v>0</v>
      </c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>
        <f t="shared" si="257"/>
        <v>0</v>
      </c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>
        <f t="shared" si="258"/>
        <v>0</v>
      </c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>
        <f t="shared" si="259"/>
        <v>0</v>
      </c>
      <c r="CL168" s="35">
        <f t="shared" si="260"/>
        <v>0</v>
      </c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>
        <f t="shared" si="261"/>
        <v>0</v>
      </c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>
        <f t="shared" si="262"/>
        <v>0</v>
      </c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>
        <f t="shared" si="263"/>
        <v>0</v>
      </c>
      <c r="DZ168" s="35">
        <f t="shared" si="264"/>
        <v>0</v>
      </c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>
        <f t="shared" si="265"/>
        <v>0</v>
      </c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>
        <f t="shared" si="266"/>
        <v>0</v>
      </c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>
        <f t="shared" si="267"/>
        <v>0</v>
      </c>
      <c r="FN168" s="35">
        <f t="shared" si="268"/>
        <v>0</v>
      </c>
      <c r="FO168" s="35">
        <f t="shared" si="269"/>
        <v>0</v>
      </c>
    </row>
    <row r="169" spans="1:171" x14ac:dyDescent="0.35">
      <c r="A169" s="34"/>
      <c r="B169" s="40"/>
      <c r="C169" s="58"/>
      <c r="D169" s="41" t="s">
        <v>141</v>
      </c>
      <c r="E169" s="58"/>
      <c r="F169" s="58"/>
      <c r="G169" s="58"/>
      <c r="H169" s="58"/>
      <c r="I169" s="58"/>
      <c r="J169" s="61">
        <f t="shared" si="270"/>
        <v>0</v>
      </c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>
        <f t="shared" si="253"/>
        <v>0</v>
      </c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>
        <f t="shared" si="254"/>
        <v>0</v>
      </c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>
        <f t="shared" si="255"/>
        <v>0</v>
      </c>
      <c r="AX169" s="35">
        <f t="shared" si="256"/>
        <v>0</v>
      </c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>
        <f t="shared" si="257"/>
        <v>0</v>
      </c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>
        <f t="shared" si="258"/>
        <v>0</v>
      </c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>
        <f t="shared" si="259"/>
        <v>0</v>
      </c>
      <c r="CL169" s="35">
        <f t="shared" si="260"/>
        <v>0</v>
      </c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>
        <f t="shared" si="261"/>
        <v>0</v>
      </c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>
        <f t="shared" si="262"/>
        <v>0</v>
      </c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>
        <f t="shared" si="263"/>
        <v>0</v>
      </c>
      <c r="DZ169" s="35">
        <f t="shared" si="264"/>
        <v>0</v>
      </c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>
        <f t="shared" si="265"/>
        <v>0</v>
      </c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>
        <f t="shared" si="266"/>
        <v>0</v>
      </c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>
        <f t="shared" si="267"/>
        <v>0</v>
      </c>
      <c r="FN169" s="35">
        <f t="shared" si="268"/>
        <v>0</v>
      </c>
      <c r="FO169" s="35">
        <f t="shared" si="269"/>
        <v>0</v>
      </c>
    </row>
    <row r="170" spans="1:171" x14ac:dyDescent="0.35">
      <c r="A170" s="34"/>
      <c r="B170" s="40"/>
      <c r="C170" s="58"/>
      <c r="D170" s="41" t="s">
        <v>229</v>
      </c>
      <c r="E170" s="58"/>
      <c r="F170" s="58"/>
      <c r="G170" s="58"/>
      <c r="H170" s="58"/>
      <c r="I170" s="58"/>
      <c r="J170" s="61">
        <f t="shared" si="270"/>
        <v>0</v>
      </c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>
        <f t="shared" si="253"/>
        <v>0</v>
      </c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>
        <f t="shared" si="254"/>
        <v>0</v>
      </c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>
        <f t="shared" si="255"/>
        <v>0</v>
      </c>
      <c r="AX170" s="35">
        <f t="shared" si="256"/>
        <v>0</v>
      </c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>
        <f t="shared" si="257"/>
        <v>0</v>
      </c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>
        <f t="shared" si="258"/>
        <v>0</v>
      </c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>
        <f t="shared" si="259"/>
        <v>0</v>
      </c>
      <c r="CL170" s="35">
        <f t="shared" si="260"/>
        <v>0</v>
      </c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>
        <f t="shared" si="261"/>
        <v>0</v>
      </c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>
        <f t="shared" si="262"/>
        <v>0</v>
      </c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>
        <f t="shared" si="263"/>
        <v>0</v>
      </c>
      <c r="DZ170" s="35">
        <f t="shared" si="264"/>
        <v>0</v>
      </c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>
        <f t="shared" si="265"/>
        <v>0</v>
      </c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>
        <f t="shared" si="266"/>
        <v>0</v>
      </c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>
        <f t="shared" si="267"/>
        <v>0</v>
      </c>
      <c r="FN170" s="35">
        <f t="shared" si="268"/>
        <v>0</v>
      </c>
      <c r="FO170" s="35">
        <f t="shared" si="269"/>
        <v>0</v>
      </c>
    </row>
    <row r="171" spans="1:171" x14ac:dyDescent="0.35">
      <c r="A171" s="34"/>
      <c r="B171" s="40"/>
      <c r="C171" s="58"/>
      <c r="D171" s="41" t="s">
        <v>142</v>
      </c>
      <c r="E171" s="58"/>
      <c r="F171" s="58"/>
      <c r="G171" s="58"/>
      <c r="H171" s="58"/>
      <c r="I171" s="58"/>
      <c r="J171" s="61">
        <f t="shared" si="270"/>
        <v>0</v>
      </c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>
        <f t="shared" si="253"/>
        <v>0</v>
      </c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>
        <f t="shared" si="254"/>
        <v>0</v>
      </c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>
        <f t="shared" si="255"/>
        <v>0</v>
      </c>
      <c r="AX171" s="35">
        <f t="shared" si="256"/>
        <v>0</v>
      </c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>
        <f t="shared" si="257"/>
        <v>0</v>
      </c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>
        <f t="shared" si="258"/>
        <v>0</v>
      </c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>
        <f t="shared" si="259"/>
        <v>0</v>
      </c>
      <c r="CL171" s="35">
        <f t="shared" si="260"/>
        <v>0</v>
      </c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>
        <f t="shared" si="261"/>
        <v>0</v>
      </c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>
        <f t="shared" si="262"/>
        <v>0</v>
      </c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>
        <f t="shared" si="263"/>
        <v>0</v>
      </c>
      <c r="DZ171" s="35">
        <f t="shared" si="264"/>
        <v>0</v>
      </c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>
        <f t="shared" si="265"/>
        <v>0</v>
      </c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>
        <f t="shared" si="266"/>
        <v>0</v>
      </c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>
        <f t="shared" si="267"/>
        <v>0</v>
      </c>
      <c r="FN171" s="35">
        <f t="shared" si="268"/>
        <v>0</v>
      </c>
      <c r="FO171" s="35">
        <f t="shared" si="269"/>
        <v>0</v>
      </c>
    </row>
    <row r="172" spans="1:171" x14ac:dyDescent="0.35">
      <c r="A172" s="34"/>
      <c r="B172" s="40"/>
      <c r="C172" s="58"/>
      <c r="D172" s="80" t="s">
        <v>143</v>
      </c>
      <c r="E172" s="58" t="s">
        <v>8</v>
      </c>
      <c r="F172" s="58" t="s">
        <v>17</v>
      </c>
      <c r="G172" s="58"/>
      <c r="H172" s="58"/>
      <c r="I172" s="58"/>
      <c r="J172" s="61">
        <f t="shared" si="270"/>
        <v>0</v>
      </c>
      <c r="K172" s="35">
        <v>5600</v>
      </c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>
        <f t="shared" si="253"/>
        <v>5600</v>
      </c>
      <c r="X172" s="35">
        <v>5600</v>
      </c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>
        <f t="shared" si="254"/>
        <v>5600</v>
      </c>
      <c r="AK172" s="35">
        <v>5600</v>
      </c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>
        <f t="shared" si="255"/>
        <v>5600</v>
      </c>
      <c r="AX172" s="35">
        <f t="shared" si="256"/>
        <v>16800</v>
      </c>
      <c r="AY172" s="35">
        <v>5600</v>
      </c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>
        <f t="shared" si="257"/>
        <v>5600</v>
      </c>
      <c r="BL172" s="35">
        <v>5600</v>
      </c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>
        <f t="shared" si="258"/>
        <v>5600</v>
      </c>
      <c r="BY172" s="35">
        <v>5600</v>
      </c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>
        <f t="shared" si="259"/>
        <v>5600</v>
      </c>
      <c r="CL172" s="35">
        <f t="shared" si="260"/>
        <v>16800</v>
      </c>
      <c r="CM172" s="35">
        <v>5600</v>
      </c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>
        <f t="shared" si="261"/>
        <v>5600</v>
      </c>
      <c r="CZ172" s="35">
        <v>5600</v>
      </c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>
        <f t="shared" si="262"/>
        <v>5600</v>
      </c>
      <c r="DM172" s="35">
        <v>5600</v>
      </c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>
        <f t="shared" si="263"/>
        <v>5600</v>
      </c>
      <c r="DZ172" s="35">
        <f t="shared" si="264"/>
        <v>16800</v>
      </c>
      <c r="EA172" s="35">
        <v>5600</v>
      </c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>
        <f t="shared" si="265"/>
        <v>5600</v>
      </c>
      <c r="EN172" s="35">
        <v>5600</v>
      </c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>
        <f t="shared" si="266"/>
        <v>5600</v>
      </c>
      <c r="FA172" s="35">
        <v>5600</v>
      </c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>
        <f t="shared" si="267"/>
        <v>5600</v>
      </c>
      <c r="FN172" s="35">
        <f t="shared" si="268"/>
        <v>16800</v>
      </c>
      <c r="FO172" s="35">
        <f t="shared" si="269"/>
        <v>67200</v>
      </c>
    </row>
    <row r="173" spans="1:171" x14ac:dyDescent="0.35">
      <c r="A173" s="34"/>
      <c r="B173" s="40"/>
      <c r="C173" s="58"/>
      <c r="D173" s="41" t="s">
        <v>144</v>
      </c>
      <c r="E173" s="58"/>
      <c r="F173" s="58"/>
      <c r="G173" s="58"/>
      <c r="H173" s="58"/>
      <c r="I173" s="58"/>
      <c r="J173" s="61">
        <f t="shared" si="270"/>
        <v>0</v>
      </c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>
        <f t="shared" si="253"/>
        <v>0</v>
      </c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>
        <f t="shared" si="254"/>
        <v>0</v>
      </c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>
        <f t="shared" si="255"/>
        <v>0</v>
      </c>
      <c r="AX173" s="35">
        <f t="shared" si="256"/>
        <v>0</v>
      </c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>
        <f t="shared" si="257"/>
        <v>0</v>
      </c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>
        <f t="shared" si="258"/>
        <v>0</v>
      </c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>
        <f t="shared" si="259"/>
        <v>0</v>
      </c>
      <c r="CL173" s="35">
        <f t="shared" si="260"/>
        <v>0</v>
      </c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>
        <f t="shared" si="261"/>
        <v>0</v>
      </c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>
        <f t="shared" si="262"/>
        <v>0</v>
      </c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>
        <f t="shared" si="263"/>
        <v>0</v>
      </c>
      <c r="DZ173" s="35">
        <f t="shared" si="264"/>
        <v>0</v>
      </c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>
        <f t="shared" si="265"/>
        <v>0</v>
      </c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>
        <f t="shared" si="266"/>
        <v>0</v>
      </c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>
        <f t="shared" si="267"/>
        <v>0</v>
      </c>
      <c r="FN173" s="35">
        <f t="shared" si="268"/>
        <v>0</v>
      </c>
      <c r="FO173" s="35">
        <f t="shared" si="269"/>
        <v>0</v>
      </c>
    </row>
    <row r="174" spans="1:171" x14ac:dyDescent="0.35">
      <c r="A174" s="34"/>
      <c r="B174" s="40"/>
      <c r="C174" s="58"/>
      <c r="D174" s="41" t="s">
        <v>145</v>
      </c>
      <c r="E174" s="58"/>
      <c r="F174" s="58"/>
      <c r="G174" s="58"/>
      <c r="H174" s="58"/>
      <c r="I174" s="58"/>
      <c r="J174" s="61">
        <f t="shared" si="270"/>
        <v>0</v>
      </c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>
        <f t="shared" si="253"/>
        <v>0</v>
      </c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>
        <f t="shared" si="254"/>
        <v>0</v>
      </c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>
        <f t="shared" si="255"/>
        <v>0</v>
      </c>
      <c r="AX174" s="35">
        <f t="shared" si="256"/>
        <v>0</v>
      </c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>
        <f t="shared" si="257"/>
        <v>0</v>
      </c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>
        <f t="shared" si="258"/>
        <v>0</v>
      </c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>
        <f t="shared" si="259"/>
        <v>0</v>
      </c>
      <c r="CL174" s="35">
        <f t="shared" si="260"/>
        <v>0</v>
      </c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>
        <f t="shared" si="261"/>
        <v>0</v>
      </c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>
        <f t="shared" si="262"/>
        <v>0</v>
      </c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>
        <f t="shared" si="263"/>
        <v>0</v>
      </c>
      <c r="DZ174" s="35">
        <f t="shared" si="264"/>
        <v>0</v>
      </c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>
        <f t="shared" si="265"/>
        <v>0</v>
      </c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>
        <f t="shared" si="266"/>
        <v>0</v>
      </c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>
        <f t="shared" si="267"/>
        <v>0</v>
      </c>
      <c r="FN174" s="35">
        <f t="shared" si="268"/>
        <v>0</v>
      </c>
      <c r="FO174" s="35">
        <f t="shared" si="269"/>
        <v>0</v>
      </c>
    </row>
    <row r="175" spans="1:171" x14ac:dyDescent="0.35">
      <c r="A175" s="34"/>
      <c r="B175" s="40"/>
      <c r="C175" s="58"/>
      <c r="D175" s="41" t="s">
        <v>146</v>
      </c>
      <c r="E175" s="58"/>
      <c r="F175" s="58"/>
      <c r="G175" s="58"/>
      <c r="H175" s="58"/>
      <c r="I175" s="58"/>
      <c r="J175" s="61">
        <f t="shared" si="270"/>
        <v>0</v>
      </c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>
        <f t="shared" si="253"/>
        <v>0</v>
      </c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>
        <f t="shared" si="254"/>
        <v>0</v>
      </c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>
        <f t="shared" si="255"/>
        <v>0</v>
      </c>
      <c r="AX175" s="35">
        <f t="shared" si="256"/>
        <v>0</v>
      </c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>
        <f t="shared" si="257"/>
        <v>0</v>
      </c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>
        <f t="shared" si="258"/>
        <v>0</v>
      </c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>
        <f t="shared" si="259"/>
        <v>0</v>
      </c>
      <c r="CL175" s="35">
        <f t="shared" si="260"/>
        <v>0</v>
      </c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>
        <f t="shared" si="261"/>
        <v>0</v>
      </c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>
        <f t="shared" si="262"/>
        <v>0</v>
      </c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>
        <f t="shared" si="263"/>
        <v>0</v>
      </c>
      <c r="DZ175" s="35">
        <f t="shared" si="264"/>
        <v>0</v>
      </c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>
        <f t="shared" si="265"/>
        <v>0</v>
      </c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>
        <f t="shared" si="266"/>
        <v>0</v>
      </c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>
        <f t="shared" si="267"/>
        <v>0</v>
      </c>
      <c r="FN175" s="35">
        <f t="shared" si="268"/>
        <v>0</v>
      </c>
      <c r="FO175" s="35">
        <f t="shared" si="269"/>
        <v>0</v>
      </c>
    </row>
    <row r="176" spans="1:171" x14ac:dyDescent="0.35">
      <c r="A176" s="34"/>
      <c r="B176" s="40"/>
      <c r="C176" s="58"/>
      <c r="D176" s="41" t="s">
        <v>147</v>
      </c>
      <c r="E176" s="58"/>
      <c r="F176" s="58"/>
      <c r="G176" s="58"/>
      <c r="H176" s="58"/>
      <c r="I176" s="58"/>
      <c r="J176" s="61">
        <f t="shared" si="270"/>
        <v>0</v>
      </c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>
        <f t="shared" si="253"/>
        <v>0</v>
      </c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>
        <f t="shared" ref="AJ176:AJ202" si="271">SUM(X176:AI176)</f>
        <v>0</v>
      </c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>
        <f t="shared" si="255"/>
        <v>0</v>
      </c>
      <c r="AX176" s="35">
        <f t="shared" si="256"/>
        <v>0</v>
      </c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>
        <f t="shared" si="257"/>
        <v>0</v>
      </c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>
        <f t="shared" si="258"/>
        <v>0</v>
      </c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>
        <f t="shared" si="259"/>
        <v>0</v>
      </c>
      <c r="CL176" s="35">
        <f t="shared" si="260"/>
        <v>0</v>
      </c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>
        <f t="shared" si="261"/>
        <v>0</v>
      </c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>
        <f t="shared" si="262"/>
        <v>0</v>
      </c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>
        <f t="shared" si="263"/>
        <v>0</v>
      </c>
      <c r="DZ176" s="35">
        <f t="shared" si="264"/>
        <v>0</v>
      </c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>
        <f t="shared" si="265"/>
        <v>0</v>
      </c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>
        <f t="shared" si="266"/>
        <v>0</v>
      </c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>
        <f t="shared" si="267"/>
        <v>0</v>
      </c>
      <c r="FN176" s="35">
        <f t="shared" si="268"/>
        <v>0</v>
      </c>
      <c r="FO176" s="35">
        <f t="shared" si="269"/>
        <v>0</v>
      </c>
    </row>
    <row r="177" spans="1:171" x14ac:dyDescent="0.35">
      <c r="A177" s="34"/>
      <c r="B177" s="40"/>
      <c r="C177" s="58"/>
      <c r="D177" s="41" t="s">
        <v>148</v>
      </c>
      <c r="E177" s="58"/>
      <c r="F177" s="58"/>
      <c r="G177" s="58"/>
      <c r="H177" s="58"/>
      <c r="I177" s="58"/>
      <c r="J177" s="61">
        <f t="shared" si="270"/>
        <v>0</v>
      </c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>
        <f t="shared" si="253"/>
        <v>0</v>
      </c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>
        <f t="shared" si="271"/>
        <v>0</v>
      </c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>
        <f t="shared" si="255"/>
        <v>0</v>
      </c>
      <c r="AX177" s="35">
        <f t="shared" si="256"/>
        <v>0</v>
      </c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>
        <f t="shared" si="257"/>
        <v>0</v>
      </c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>
        <f t="shared" si="258"/>
        <v>0</v>
      </c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>
        <f t="shared" si="259"/>
        <v>0</v>
      </c>
      <c r="CL177" s="35">
        <f t="shared" si="260"/>
        <v>0</v>
      </c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>
        <f t="shared" si="261"/>
        <v>0</v>
      </c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>
        <f t="shared" si="262"/>
        <v>0</v>
      </c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>
        <f t="shared" si="263"/>
        <v>0</v>
      </c>
      <c r="DZ177" s="35">
        <f t="shared" si="264"/>
        <v>0</v>
      </c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>
        <f t="shared" si="265"/>
        <v>0</v>
      </c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>
        <f t="shared" si="266"/>
        <v>0</v>
      </c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>
        <f t="shared" si="267"/>
        <v>0</v>
      </c>
      <c r="FN177" s="35">
        <f t="shared" si="268"/>
        <v>0</v>
      </c>
      <c r="FO177" s="35">
        <f t="shared" si="269"/>
        <v>0</v>
      </c>
    </row>
    <row r="178" spans="1:171" x14ac:dyDescent="0.35">
      <c r="A178" s="34"/>
      <c r="B178" s="40"/>
      <c r="C178" s="58"/>
      <c r="D178" s="41" t="s">
        <v>149</v>
      </c>
      <c r="E178" s="58"/>
      <c r="F178" s="58"/>
      <c r="G178" s="58"/>
      <c r="H178" s="58"/>
      <c r="I178" s="58"/>
      <c r="J178" s="61">
        <f t="shared" si="270"/>
        <v>0</v>
      </c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>
        <f t="shared" si="253"/>
        <v>0</v>
      </c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>
        <f t="shared" si="271"/>
        <v>0</v>
      </c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>
        <f t="shared" si="255"/>
        <v>0</v>
      </c>
      <c r="AX178" s="35">
        <f t="shared" si="256"/>
        <v>0</v>
      </c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>
        <f t="shared" si="257"/>
        <v>0</v>
      </c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>
        <f t="shared" si="258"/>
        <v>0</v>
      </c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>
        <f t="shared" si="259"/>
        <v>0</v>
      </c>
      <c r="CL178" s="35">
        <f t="shared" si="260"/>
        <v>0</v>
      </c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>
        <f t="shared" si="261"/>
        <v>0</v>
      </c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>
        <f t="shared" si="262"/>
        <v>0</v>
      </c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>
        <f t="shared" si="263"/>
        <v>0</v>
      </c>
      <c r="DZ178" s="35">
        <f t="shared" si="264"/>
        <v>0</v>
      </c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>
        <f t="shared" si="265"/>
        <v>0</v>
      </c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>
        <f t="shared" si="266"/>
        <v>0</v>
      </c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>
        <f t="shared" si="267"/>
        <v>0</v>
      </c>
      <c r="FN178" s="35">
        <f t="shared" si="268"/>
        <v>0</v>
      </c>
      <c r="FO178" s="35">
        <f t="shared" si="269"/>
        <v>0</v>
      </c>
    </row>
    <row r="179" spans="1:171" x14ac:dyDescent="0.35">
      <c r="A179" s="34"/>
      <c r="B179" s="40"/>
      <c r="C179" s="58"/>
      <c r="D179" s="41" t="s">
        <v>150</v>
      </c>
      <c r="E179" s="58"/>
      <c r="F179" s="58"/>
      <c r="G179" s="58"/>
      <c r="H179" s="58"/>
      <c r="I179" s="58"/>
      <c r="J179" s="61">
        <f t="shared" si="270"/>
        <v>0</v>
      </c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>
        <f t="shared" si="253"/>
        <v>0</v>
      </c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>
        <f t="shared" si="271"/>
        <v>0</v>
      </c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>
        <f t="shared" si="255"/>
        <v>0</v>
      </c>
      <c r="AX179" s="35">
        <f t="shared" si="256"/>
        <v>0</v>
      </c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>
        <f t="shared" si="257"/>
        <v>0</v>
      </c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>
        <f t="shared" si="258"/>
        <v>0</v>
      </c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>
        <f t="shared" si="259"/>
        <v>0</v>
      </c>
      <c r="CL179" s="35">
        <f t="shared" si="260"/>
        <v>0</v>
      </c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>
        <f t="shared" si="261"/>
        <v>0</v>
      </c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>
        <f t="shared" si="262"/>
        <v>0</v>
      </c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>
        <f t="shared" si="263"/>
        <v>0</v>
      </c>
      <c r="DZ179" s="35">
        <f t="shared" si="264"/>
        <v>0</v>
      </c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>
        <f t="shared" si="265"/>
        <v>0</v>
      </c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>
        <f t="shared" si="266"/>
        <v>0</v>
      </c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>
        <f t="shared" si="267"/>
        <v>0</v>
      </c>
      <c r="FN179" s="35">
        <f t="shared" si="268"/>
        <v>0</v>
      </c>
      <c r="FO179" s="35">
        <f t="shared" si="269"/>
        <v>0</v>
      </c>
    </row>
    <row r="180" spans="1:171" x14ac:dyDescent="0.35">
      <c r="A180" s="34"/>
      <c r="B180" s="40"/>
      <c r="C180" s="58"/>
      <c r="D180" s="41" t="s">
        <v>151</v>
      </c>
      <c r="E180" s="58"/>
      <c r="F180" s="58"/>
      <c r="G180" s="58"/>
      <c r="H180" s="58"/>
      <c r="I180" s="58"/>
      <c r="J180" s="61">
        <f t="shared" si="270"/>
        <v>0</v>
      </c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>
        <f t="shared" si="253"/>
        <v>0</v>
      </c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>
        <f t="shared" si="271"/>
        <v>0</v>
      </c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>
        <f t="shared" si="255"/>
        <v>0</v>
      </c>
      <c r="AX180" s="35">
        <f t="shared" si="256"/>
        <v>0</v>
      </c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>
        <f t="shared" si="257"/>
        <v>0</v>
      </c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>
        <f t="shared" si="258"/>
        <v>0</v>
      </c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>
        <f t="shared" si="259"/>
        <v>0</v>
      </c>
      <c r="CL180" s="35">
        <f t="shared" si="260"/>
        <v>0</v>
      </c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>
        <f t="shared" si="261"/>
        <v>0</v>
      </c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>
        <f t="shared" si="262"/>
        <v>0</v>
      </c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>
        <f t="shared" si="263"/>
        <v>0</v>
      </c>
      <c r="DZ180" s="35">
        <f t="shared" si="264"/>
        <v>0</v>
      </c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>
        <f t="shared" si="265"/>
        <v>0</v>
      </c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>
        <f t="shared" si="266"/>
        <v>0</v>
      </c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>
        <f t="shared" si="267"/>
        <v>0</v>
      </c>
      <c r="FN180" s="35">
        <f t="shared" si="268"/>
        <v>0</v>
      </c>
      <c r="FO180" s="35">
        <f t="shared" si="269"/>
        <v>0</v>
      </c>
    </row>
    <row r="181" spans="1:171" x14ac:dyDescent="0.35">
      <c r="A181" s="34"/>
      <c r="B181" s="40"/>
      <c r="C181" s="58"/>
      <c r="D181" s="41" t="s">
        <v>152</v>
      </c>
      <c r="E181" s="58"/>
      <c r="F181" s="58"/>
      <c r="G181" s="58"/>
      <c r="H181" s="58"/>
      <c r="I181" s="58"/>
      <c r="J181" s="61">
        <f t="shared" si="270"/>
        <v>0</v>
      </c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>
        <f t="shared" si="253"/>
        <v>0</v>
      </c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>
        <f t="shared" si="271"/>
        <v>0</v>
      </c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>
        <f t="shared" si="255"/>
        <v>0</v>
      </c>
      <c r="AX181" s="35">
        <f t="shared" si="256"/>
        <v>0</v>
      </c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>
        <f t="shared" si="257"/>
        <v>0</v>
      </c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>
        <f t="shared" si="258"/>
        <v>0</v>
      </c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>
        <f t="shared" si="259"/>
        <v>0</v>
      </c>
      <c r="CL181" s="35">
        <f t="shared" si="260"/>
        <v>0</v>
      </c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>
        <f t="shared" si="261"/>
        <v>0</v>
      </c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>
        <f t="shared" si="262"/>
        <v>0</v>
      </c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>
        <f t="shared" si="263"/>
        <v>0</v>
      </c>
      <c r="DZ181" s="35">
        <f t="shared" si="264"/>
        <v>0</v>
      </c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>
        <f t="shared" si="265"/>
        <v>0</v>
      </c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>
        <f t="shared" si="266"/>
        <v>0</v>
      </c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>
        <f t="shared" si="267"/>
        <v>0</v>
      </c>
      <c r="FN181" s="35">
        <f t="shared" si="268"/>
        <v>0</v>
      </c>
      <c r="FO181" s="35">
        <f t="shared" si="269"/>
        <v>0</v>
      </c>
    </row>
    <row r="182" spans="1:171" x14ac:dyDescent="0.35">
      <c r="A182" s="34"/>
      <c r="B182" s="40"/>
      <c r="C182" s="58"/>
      <c r="D182" s="41" t="s">
        <v>153</v>
      </c>
      <c r="E182" s="58"/>
      <c r="F182" s="58"/>
      <c r="G182" s="58"/>
      <c r="H182" s="58"/>
      <c r="I182" s="58"/>
      <c r="J182" s="61">
        <f t="shared" si="270"/>
        <v>0</v>
      </c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>
        <f t="shared" si="253"/>
        <v>0</v>
      </c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>
        <f t="shared" si="271"/>
        <v>0</v>
      </c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>
        <f t="shared" si="255"/>
        <v>0</v>
      </c>
      <c r="AX182" s="35">
        <f t="shared" si="256"/>
        <v>0</v>
      </c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>
        <f t="shared" si="257"/>
        <v>0</v>
      </c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>
        <f t="shared" si="258"/>
        <v>0</v>
      </c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>
        <f t="shared" si="259"/>
        <v>0</v>
      </c>
      <c r="CL182" s="35">
        <f t="shared" si="260"/>
        <v>0</v>
      </c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>
        <f t="shared" si="261"/>
        <v>0</v>
      </c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>
        <f t="shared" si="262"/>
        <v>0</v>
      </c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>
        <f t="shared" si="263"/>
        <v>0</v>
      </c>
      <c r="DZ182" s="35">
        <f t="shared" si="264"/>
        <v>0</v>
      </c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>
        <f t="shared" si="265"/>
        <v>0</v>
      </c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>
        <f t="shared" si="266"/>
        <v>0</v>
      </c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>
        <f t="shared" si="267"/>
        <v>0</v>
      </c>
      <c r="FN182" s="35">
        <f t="shared" si="268"/>
        <v>0</v>
      </c>
      <c r="FO182" s="35">
        <f t="shared" si="269"/>
        <v>0</v>
      </c>
    </row>
    <row r="183" spans="1:171" x14ac:dyDescent="0.35">
      <c r="A183" s="34"/>
      <c r="B183" s="40"/>
      <c r="C183" s="58"/>
      <c r="D183" s="41" t="s">
        <v>154</v>
      </c>
      <c r="E183" s="58"/>
      <c r="F183" s="58"/>
      <c r="G183" s="58"/>
      <c r="H183" s="58"/>
      <c r="I183" s="58"/>
      <c r="J183" s="61">
        <f t="shared" si="270"/>
        <v>0</v>
      </c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>
        <f t="shared" si="253"/>
        <v>0</v>
      </c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>
        <f t="shared" si="271"/>
        <v>0</v>
      </c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>
        <f t="shared" si="255"/>
        <v>0</v>
      </c>
      <c r="AX183" s="35">
        <f t="shared" si="256"/>
        <v>0</v>
      </c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>
        <f t="shared" si="257"/>
        <v>0</v>
      </c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>
        <f t="shared" si="258"/>
        <v>0</v>
      </c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>
        <f t="shared" si="259"/>
        <v>0</v>
      </c>
      <c r="CL183" s="35">
        <f t="shared" si="260"/>
        <v>0</v>
      </c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>
        <f t="shared" si="261"/>
        <v>0</v>
      </c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>
        <f t="shared" si="262"/>
        <v>0</v>
      </c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>
        <f t="shared" si="263"/>
        <v>0</v>
      </c>
      <c r="DZ183" s="35">
        <f t="shared" si="264"/>
        <v>0</v>
      </c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>
        <f t="shared" si="265"/>
        <v>0</v>
      </c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>
        <f t="shared" si="266"/>
        <v>0</v>
      </c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>
        <f t="shared" si="267"/>
        <v>0</v>
      </c>
      <c r="FN183" s="35">
        <f t="shared" si="268"/>
        <v>0</v>
      </c>
      <c r="FO183" s="35">
        <f t="shared" si="269"/>
        <v>0</v>
      </c>
    </row>
    <row r="184" spans="1:171" x14ac:dyDescent="0.35">
      <c r="A184" s="34"/>
      <c r="B184" s="40"/>
      <c r="C184" s="58"/>
      <c r="D184" s="41" t="s">
        <v>155</v>
      </c>
      <c r="E184" s="58"/>
      <c r="F184" s="58"/>
      <c r="G184" s="58"/>
      <c r="H184" s="58"/>
      <c r="I184" s="58"/>
      <c r="J184" s="61">
        <f t="shared" si="270"/>
        <v>0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>
        <f t="shared" si="253"/>
        <v>0</v>
      </c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>
        <f t="shared" si="271"/>
        <v>0</v>
      </c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>
        <f t="shared" si="255"/>
        <v>0</v>
      </c>
      <c r="AX184" s="35">
        <f t="shared" si="256"/>
        <v>0</v>
      </c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>
        <f t="shared" si="257"/>
        <v>0</v>
      </c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>
        <f t="shared" si="258"/>
        <v>0</v>
      </c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>
        <f t="shared" si="259"/>
        <v>0</v>
      </c>
      <c r="CL184" s="35">
        <f t="shared" si="260"/>
        <v>0</v>
      </c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>
        <f t="shared" si="261"/>
        <v>0</v>
      </c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>
        <f t="shared" si="262"/>
        <v>0</v>
      </c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>
        <f t="shared" si="263"/>
        <v>0</v>
      </c>
      <c r="DZ184" s="35">
        <f t="shared" si="264"/>
        <v>0</v>
      </c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>
        <f t="shared" si="265"/>
        <v>0</v>
      </c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>
        <f t="shared" si="266"/>
        <v>0</v>
      </c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>
        <f t="shared" si="267"/>
        <v>0</v>
      </c>
      <c r="FN184" s="35">
        <f t="shared" si="268"/>
        <v>0</v>
      </c>
      <c r="FO184" s="35">
        <f t="shared" si="269"/>
        <v>0</v>
      </c>
    </row>
    <row r="185" spans="1:171" x14ac:dyDescent="0.35">
      <c r="A185" s="34"/>
      <c r="B185" s="40"/>
      <c r="C185" s="58"/>
      <c r="D185" s="41" t="s">
        <v>156</v>
      </c>
      <c r="E185" s="58"/>
      <c r="F185" s="58"/>
      <c r="G185" s="58"/>
      <c r="H185" s="58"/>
      <c r="I185" s="58"/>
      <c r="J185" s="61">
        <f t="shared" si="270"/>
        <v>0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>
        <f t="shared" si="253"/>
        <v>0</v>
      </c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>
        <f t="shared" si="271"/>
        <v>0</v>
      </c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>
        <f t="shared" si="255"/>
        <v>0</v>
      </c>
      <c r="AX185" s="35">
        <f t="shared" si="256"/>
        <v>0</v>
      </c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>
        <f t="shared" si="257"/>
        <v>0</v>
      </c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>
        <f t="shared" si="258"/>
        <v>0</v>
      </c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>
        <f t="shared" si="259"/>
        <v>0</v>
      </c>
      <c r="CL185" s="35">
        <f t="shared" si="260"/>
        <v>0</v>
      </c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>
        <f t="shared" si="261"/>
        <v>0</v>
      </c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>
        <f t="shared" si="262"/>
        <v>0</v>
      </c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>
        <f t="shared" si="263"/>
        <v>0</v>
      </c>
      <c r="DZ185" s="35">
        <f t="shared" si="264"/>
        <v>0</v>
      </c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>
        <f t="shared" si="265"/>
        <v>0</v>
      </c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>
        <f t="shared" si="266"/>
        <v>0</v>
      </c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>
        <f t="shared" si="267"/>
        <v>0</v>
      </c>
      <c r="FN185" s="35">
        <f t="shared" si="268"/>
        <v>0</v>
      </c>
      <c r="FO185" s="35">
        <f t="shared" si="269"/>
        <v>0</v>
      </c>
    </row>
    <row r="186" spans="1:171" x14ac:dyDescent="0.35">
      <c r="A186" s="34"/>
      <c r="B186" s="40"/>
      <c r="C186" s="58"/>
      <c r="D186" s="41" t="s">
        <v>157</v>
      </c>
      <c r="E186" s="58"/>
      <c r="F186" s="58"/>
      <c r="G186" s="58"/>
      <c r="H186" s="58"/>
      <c r="I186" s="58"/>
      <c r="J186" s="61">
        <f t="shared" si="270"/>
        <v>0</v>
      </c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>
        <f t="shared" si="253"/>
        <v>0</v>
      </c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>
        <f t="shared" si="271"/>
        <v>0</v>
      </c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>
        <f t="shared" si="255"/>
        <v>0</v>
      </c>
      <c r="AX186" s="35">
        <f t="shared" si="256"/>
        <v>0</v>
      </c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>
        <f t="shared" si="257"/>
        <v>0</v>
      </c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>
        <f t="shared" si="258"/>
        <v>0</v>
      </c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>
        <f t="shared" si="259"/>
        <v>0</v>
      </c>
      <c r="CL186" s="35">
        <f t="shared" si="260"/>
        <v>0</v>
      </c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>
        <f t="shared" si="261"/>
        <v>0</v>
      </c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>
        <f t="shared" si="262"/>
        <v>0</v>
      </c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>
        <f t="shared" si="263"/>
        <v>0</v>
      </c>
      <c r="DZ186" s="35">
        <f t="shared" si="264"/>
        <v>0</v>
      </c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>
        <f t="shared" si="265"/>
        <v>0</v>
      </c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>
        <f t="shared" si="266"/>
        <v>0</v>
      </c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>
        <f t="shared" si="267"/>
        <v>0</v>
      </c>
      <c r="FN186" s="35">
        <f t="shared" si="268"/>
        <v>0</v>
      </c>
      <c r="FO186" s="35">
        <f t="shared" si="269"/>
        <v>0</v>
      </c>
    </row>
    <row r="187" spans="1:171" x14ac:dyDescent="0.35">
      <c r="A187" s="34"/>
      <c r="B187" s="40"/>
      <c r="C187" s="58"/>
      <c r="D187" s="41" t="s">
        <v>158</v>
      </c>
      <c r="E187" s="58"/>
      <c r="F187" s="58"/>
      <c r="G187" s="58"/>
      <c r="H187" s="58"/>
      <c r="I187" s="58"/>
      <c r="J187" s="61">
        <f t="shared" si="270"/>
        <v>0</v>
      </c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>
        <f t="shared" si="253"/>
        <v>0</v>
      </c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>
        <f t="shared" si="271"/>
        <v>0</v>
      </c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>
        <f t="shared" si="255"/>
        <v>0</v>
      </c>
      <c r="AX187" s="35">
        <f t="shared" si="256"/>
        <v>0</v>
      </c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>
        <f t="shared" si="257"/>
        <v>0</v>
      </c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>
        <f t="shared" si="258"/>
        <v>0</v>
      </c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>
        <f t="shared" si="259"/>
        <v>0</v>
      </c>
      <c r="CL187" s="35">
        <f t="shared" si="260"/>
        <v>0</v>
      </c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>
        <f t="shared" si="261"/>
        <v>0</v>
      </c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>
        <f t="shared" si="262"/>
        <v>0</v>
      </c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>
        <f t="shared" si="263"/>
        <v>0</v>
      </c>
      <c r="DZ187" s="35">
        <f t="shared" si="264"/>
        <v>0</v>
      </c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>
        <f t="shared" si="265"/>
        <v>0</v>
      </c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>
        <f t="shared" si="266"/>
        <v>0</v>
      </c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>
        <f t="shared" si="267"/>
        <v>0</v>
      </c>
      <c r="FN187" s="35">
        <f t="shared" si="268"/>
        <v>0</v>
      </c>
      <c r="FO187" s="35">
        <f t="shared" si="269"/>
        <v>0</v>
      </c>
    </row>
    <row r="188" spans="1:171" x14ac:dyDescent="0.35">
      <c r="A188" s="34"/>
      <c r="B188" s="40"/>
      <c r="C188" s="58"/>
      <c r="D188" s="41" t="s">
        <v>159</v>
      </c>
      <c r="E188" s="58"/>
      <c r="F188" s="58"/>
      <c r="G188" s="58"/>
      <c r="H188" s="58"/>
      <c r="I188" s="58"/>
      <c r="J188" s="61">
        <f t="shared" si="270"/>
        <v>0</v>
      </c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>
        <f t="shared" si="253"/>
        <v>0</v>
      </c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>
        <f t="shared" si="271"/>
        <v>0</v>
      </c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>
        <f t="shared" si="255"/>
        <v>0</v>
      </c>
      <c r="AX188" s="35">
        <f t="shared" si="256"/>
        <v>0</v>
      </c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>
        <f t="shared" si="257"/>
        <v>0</v>
      </c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>
        <f t="shared" si="258"/>
        <v>0</v>
      </c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>
        <f t="shared" si="259"/>
        <v>0</v>
      </c>
      <c r="CL188" s="35">
        <f t="shared" si="260"/>
        <v>0</v>
      </c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>
        <f t="shared" si="261"/>
        <v>0</v>
      </c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>
        <f t="shared" si="262"/>
        <v>0</v>
      </c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>
        <f t="shared" si="263"/>
        <v>0</v>
      </c>
      <c r="DZ188" s="35">
        <f t="shared" si="264"/>
        <v>0</v>
      </c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>
        <f t="shared" si="265"/>
        <v>0</v>
      </c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>
        <f t="shared" si="266"/>
        <v>0</v>
      </c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>
        <f t="shared" si="267"/>
        <v>0</v>
      </c>
      <c r="FN188" s="35">
        <f t="shared" si="268"/>
        <v>0</v>
      </c>
      <c r="FO188" s="35">
        <f t="shared" si="269"/>
        <v>0</v>
      </c>
    </row>
    <row r="189" spans="1:171" x14ac:dyDescent="0.35">
      <c r="A189" s="34"/>
      <c r="B189" s="40"/>
      <c r="C189" s="58"/>
      <c r="D189" s="41" t="s">
        <v>160</v>
      </c>
      <c r="E189" s="58"/>
      <c r="F189" s="58"/>
      <c r="G189" s="58"/>
      <c r="H189" s="58"/>
      <c r="I189" s="58"/>
      <c r="J189" s="61">
        <f t="shared" si="270"/>
        <v>0</v>
      </c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>
        <f t="shared" si="253"/>
        <v>0</v>
      </c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>
        <f t="shared" si="271"/>
        <v>0</v>
      </c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>
        <f t="shared" si="255"/>
        <v>0</v>
      </c>
      <c r="AX189" s="35">
        <f t="shared" si="256"/>
        <v>0</v>
      </c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>
        <f t="shared" si="257"/>
        <v>0</v>
      </c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>
        <f t="shared" si="258"/>
        <v>0</v>
      </c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>
        <f t="shared" si="259"/>
        <v>0</v>
      </c>
      <c r="CL189" s="35">
        <f t="shared" si="260"/>
        <v>0</v>
      </c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>
        <f t="shared" si="261"/>
        <v>0</v>
      </c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>
        <f t="shared" si="262"/>
        <v>0</v>
      </c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>
        <f t="shared" si="263"/>
        <v>0</v>
      </c>
      <c r="DZ189" s="35">
        <f t="shared" si="264"/>
        <v>0</v>
      </c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>
        <f t="shared" si="265"/>
        <v>0</v>
      </c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>
        <f t="shared" si="266"/>
        <v>0</v>
      </c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>
        <f t="shared" si="267"/>
        <v>0</v>
      </c>
      <c r="FN189" s="35">
        <f t="shared" si="268"/>
        <v>0</v>
      </c>
      <c r="FO189" s="35">
        <f t="shared" si="269"/>
        <v>0</v>
      </c>
    </row>
    <row r="190" spans="1:171" x14ac:dyDescent="0.35">
      <c r="A190" s="34"/>
      <c r="B190" s="40"/>
      <c r="C190" s="58"/>
      <c r="D190" s="41" t="s">
        <v>161</v>
      </c>
      <c r="E190" s="58"/>
      <c r="F190" s="58"/>
      <c r="G190" s="58"/>
      <c r="H190" s="58"/>
      <c r="I190" s="58"/>
      <c r="J190" s="61">
        <f t="shared" si="270"/>
        <v>0</v>
      </c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>
        <f t="shared" si="253"/>
        <v>0</v>
      </c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>
        <f t="shared" si="271"/>
        <v>0</v>
      </c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>
        <f t="shared" si="255"/>
        <v>0</v>
      </c>
      <c r="AX190" s="35">
        <f t="shared" si="256"/>
        <v>0</v>
      </c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>
        <f t="shared" si="257"/>
        <v>0</v>
      </c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>
        <f t="shared" si="258"/>
        <v>0</v>
      </c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>
        <f t="shared" si="259"/>
        <v>0</v>
      </c>
      <c r="CL190" s="35">
        <f t="shared" si="260"/>
        <v>0</v>
      </c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>
        <f t="shared" si="261"/>
        <v>0</v>
      </c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>
        <f t="shared" si="262"/>
        <v>0</v>
      </c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>
        <f t="shared" si="263"/>
        <v>0</v>
      </c>
      <c r="DZ190" s="35">
        <f t="shared" si="264"/>
        <v>0</v>
      </c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>
        <f t="shared" si="265"/>
        <v>0</v>
      </c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>
        <f t="shared" si="266"/>
        <v>0</v>
      </c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>
        <f t="shared" si="267"/>
        <v>0</v>
      </c>
      <c r="FN190" s="35">
        <f t="shared" si="268"/>
        <v>0</v>
      </c>
      <c r="FO190" s="35">
        <f t="shared" si="269"/>
        <v>0</v>
      </c>
    </row>
    <row r="191" spans="1:171" x14ac:dyDescent="0.35">
      <c r="A191" s="34"/>
      <c r="B191" s="40"/>
      <c r="C191" s="58"/>
      <c r="D191" s="80" t="s">
        <v>162</v>
      </c>
      <c r="E191" s="58" t="s">
        <v>8</v>
      </c>
      <c r="F191" s="58" t="s">
        <v>17</v>
      </c>
      <c r="G191" s="58"/>
      <c r="H191" s="58"/>
      <c r="I191" s="58"/>
      <c r="J191" s="61">
        <f t="shared" si="270"/>
        <v>0</v>
      </c>
      <c r="K191" s="35">
        <v>5600</v>
      </c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>
        <f t="shared" si="253"/>
        <v>5600</v>
      </c>
      <c r="X191" s="35">
        <v>5600</v>
      </c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>
        <f t="shared" si="271"/>
        <v>5600</v>
      </c>
      <c r="AK191" s="35">
        <v>5600</v>
      </c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>
        <f t="shared" si="255"/>
        <v>5600</v>
      </c>
      <c r="AX191" s="35">
        <f t="shared" si="256"/>
        <v>16800</v>
      </c>
      <c r="AY191" s="35">
        <v>5600</v>
      </c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>
        <f t="shared" si="257"/>
        <v>5600</v>
      </c>
      <c r="BL191" s="35">
        <v>5600</v>
      </c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>
        <f t="shared" si="258"/>
        <v>5600</v>
      </c>
      <c r="BY191" s="35">
        <v>5600</v>
      </c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>
        <f t="shared" si="259"/>
        <v>5600</v>
      </c>
      <c r="CL191" s="35">
        <f t="shared" si="260"/>
        <v>16800</v>
      </c>
      <c r="CM191" s="35">
        <v>5600</v>
      </c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>
        <f t="shared" si="261"/>
        <v>5600</v>
      </c>
      <c r="CZ191" s="35">
        <v>5600</v>
      </c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>
        <f t="shared" si="262"/>
        <v>5600</v>
      </c>
      <c r="DM191" s="35">
        <v>5600</v>
      </c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>
        <f t="shared" si="263"/>
        <v>5600</v>
      </c>
      <c r="DZ191" s="35">
        <f t="shared" si="264"/>
        <v>16800</v>
      </c>
      <c r="EA191" s="35">
        <v>5600</v>
      </c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>
        <f t="shared" si="265"/>
        <v>5600</v>
      </c>
      <c r="EN191" s="35">
        <v>5600</v>
      </c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>
        <f t="shared" si="266"/>
        <v>5600</v>
      </c>
      <c r="FA191" s="35">
        <v>5600</v>
      </c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>
        <f t="shared" si="267"/>
        <v>5600</v>
      </c>
      <c r="FN191" s="35">
        <f t="shared" si="268"/>
        <v>16800</v>
      </c>
      <c r="FO191" s="35">
        <f t="shared" si="269"/>
        <v>67200</v>
      </c>
    </row>
    <row r="192" spans="1:171" x14ac:dyDescent="0.35">
      <c r="A192" s="34"/>
      <c r="B192" s="40"/>
      <c r="C192" s="58"/>
      <c r="D192" s="41" t="s">
        <v>163</v>
      </c>
      <c r="E192" s="58"/>
      <c r="F192" s="58"/>
      <c r="G192" s="58"/>
      <c r="H192" s="58"/>
      <c r="I192" s="58"/>
      <c r="J192" s="61">
        <f t="shared" si="270"/>
        <v>0</v>
      </c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>
        <f t="shared" si="253"/>
        <v>0</v>
      </c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>
        <f t="shared" si="271"/>
        <v>0</v>
      </c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>
        <f t="shared" si="255"/>
        <v>0</v>
      </c>
      <c r="AX192" s="35">
        <f t="shared" si="256"/>
        <v>0</v>
      </c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>
        <f t="shared" si="257"/>
        <v>0</v>
      </c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>
        <f t="shared" si="258"/>
        <v>0</v>
      </c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>
        <f t="shared" si="259"/>
        <v>0</v>
      </c>
      <c r="CL192" s="35">
        <f t="shared" si="260"/>
        <v>0</v>
      </c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>
        <f t="shared" si="261"/>
        <v>0</v>
      </c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>
        <f t="shared" si="262"/>
        <v>0</v>
      </c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>
        <f t="shared" si="263"/>
        <v>0</v>
      </c>
      <c r="DZ192" s="35">
        <f t="shared" si="264"/>
        <v>0</v>
      </c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>
        <f t="shared" si="265"/>
        <v>0</v>
      </c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>
        <f t="shared" si="266"/>
        <v>0</v>
      </c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>
        <f t="shared" si="267"/>
        <v>0</v>
      </c>
      <c r="FN192" s="35">
        <f t="shared" si="268"/>
        <v>0</v>
      </c>
      <c r="FO192" s="35">
        <f t="shared" si="269"/>
        <v>0</v>
      </c>
    </row>
    <row r="193" spans="1:171" x14ac:dyDescent="0.35">
      <c r="A193" s="34"/>
      <c r="B193" s="40"/>
      <c r="C193" s="58"/>
      <c r="D193" s="41" t="s">
        <v>164</v>
      </c>
      <c r="E193" s="58"/>
      <c r="F193" s="58"/>
      <c r="G193" s="58"/>
      <c r="H193" s="58"/>
      <c r="I193" s="58"/>
      <c r="J193" s="61">
        <f t="shared" si="270"/>
        <v>0</v>
      </c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>
        <f t="shared" si="253"/>
        <v>0</v>
      </c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>
        <f t="shared" si="271"/>
        <v>0</v>
      </c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>
        <f t="shared" si="255"/>
        <v>0</v>
      </c>
      <c r="AX193" s="35">
        <f t="shared" si="256"/>
        <v>0</v>
      </c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>
        <f t="shared" si="257"/>
        <v>0</v>
      </c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>
        <f t="shared" si="258"/>
        <v>0</v>
      </c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>
        <f t="shared" si="259"/>
        <v>0</v>
      </c>
      <c r="CL193" s="35">
        <f t="shared" si="260"/>
        <v>0</v>
      </c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>
        <f t="shared" si="261"/>
        <v>0</v>
      </c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>
        <f t="shared" si="262"/>
        <v>0</v>
      </c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>
        <f t="shared" si="263"/>
        <v>0</v>
      </c>
      <c r="DZ193" s="35">
        <f t="shared" si="264"/>
        <v>0</v>
      </c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>
        <f t="shared" si="265"/>
        <v>0</v>
      </c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>
        <f t="shared" si="266"/>
        <v>0</v>
      </c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>
        <f t="shared" si="267"/>
        <v>0</v>
      </c>
      <c r="FN193" s="35">
        <f t="shared" si="268"/>
        <v>0</v>
      </c>
      <c r="FO193" s="35">
        <f t="shared" si="269"/>
        <v>0</v>
      </c>
    </row>
    <row r="194" spans="1:171" x14ac:dyDescent="0.35">
      <c r="A194" s="34"/>
      <c r="B194" s="40"/>
      <c r="C194" s="58"/>
      <c r="D194" s="41" t="s">
        <v>165</v>
      </c>
      <c r="E194" s="58"/>
      <c r="F194" s="58"/>
      <c r="G194" s="58"/>
      <c r="H194" s="58"/>
      <c r="I194" s="58"/>
      <c r="J194" s="61">
        <f t="shared" si="270"/>
        <v>0</v>
      </c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>
        <f t="shared" si="253"/>
        <v>0</v>
      </c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>
        <f t="shared" si="271"/>
        <v>0</v>
      </c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>
        <f t="shared" si="255"/>
        <v>0</v>
      </c>
      <c r="AX194" s="35">
        <f t="shared" si="256"/>
        <v>0</v>
      </c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>
        <f t="shared" si="257"/>
        <v>0</v>
      </c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>
        <f t="shared" si="258"/>
        <v>0</v>
      </c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>
        <f t="shared" si="259"/>
        <v>0</v>
      </c>
      <c r="CL194" s="35">
        <f t="shared" si="260"/>
        <v>0</v>
      </c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>
        <f t="shared" si="261"/>
        <v>0</v>
      </c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>
        <f t="shared" si="262"/>
        <v>0</v>
      </c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>
        <f t="shared" si="263"/>
        <v>0</v>
      </c>
      <c r="DZ194" s="35">
        <f t="shared" si="264"/>
        <v>0</v>
      </c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>
        <f t="shared" si="265"/>
        <v>0</v>
      </c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>
        <f t="shared" si="266"/>
        <v>0</v>
      </c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>
        <f t="shared" si="267"/>
        <v>0</v>
      </c>
      <c r="FN194" s="35">
        <f t="shared" si="268"/>
        <v>0</v>
      </c>
      <c r="FO194" s="35">
        <f t="shared" si="269"/>
        <v>0</v>
      </c>
    </row>
    <row r="195" spans="1:171" x14ac:dyDescent="0.35">
      <c r="A195" s="34"/>
      <c r="B195" s="40"/>
      <c r="C195" s="58"/>
      <c r="D195" s="41" t="s">
        <v>166</v>
      </c>
      <c r="E195" s="58"/>
      <c r="F195" s="58"/>
      <c r="G195" s="58"/>
      <c r="H195" s="58"/>
      <c r="I195" s="58"/>
      <c r="J195" s="61">
        <f t="shared" si="270"/>
        <v>0</v>
      </c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>
        <f t="shared" si="253"/>
        <v>0</v>
      </c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>
        <f t="shared" si="271"/>
        <v>0</v>
      </c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>
        <f t="shared" si="255"/>
        <v>0</v>
      </c>
      <c r="AX195" s="35">
        <f t="shared" si="256"/>
        <v>0</v>
      </c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>
        <f t="shared" si="257"/>
        <v>0</v>
      </c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>
        <f t="shared" si="258"/>
        <v>0</v>
      </c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>
        <f t="shared" si="259"/>
        <v>0</v>
      </c>
      <c r="CL195" s="35">
        <f t="shared" si="260"/>
        <v>0</v>
      </c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>
        <f t="shared" si="261"/>
        <v>0</v>
      </c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>
        <f t="shared" si="262"/>
        <v>0</v>
      </c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>
        <f t="shared" si="263"/>
        <v>0</v>
      </c>
      <c r="DZ195" s="35">
        <f t="shared" si="264"/>
        <v>0</v>
      </c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>
        <f t="shared" si="265"/>
        <v>0</v>
      </c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>
        <f t="shared" si="266"/>
        <v>0</v>
      </c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>
        <f t="shared" si="267"/>
        <v>0</v>
      </c>
      <c r="FN195" s="35">
        <f t="shared" si="268"/>
        <v>0</v>
      </c>
      <c r="FO195" s="35">
        <f t="shared" si="269"/>
        <v>0</v>
      </c>
    </row>
    <row r="196" spans="1:171" x14ac:dyDescent="0.35">
      <c r="A196" s="34"/>
      <c r="B196" s="40"/>
      <c r="C196" s="58"/>
      <c r="D196" s="41" t="s">
        <v>167</v>
      </c>
      <c r="E196" s="58"/>
      <c r="F196" s="58"/>
      <c r="G196" s="58"/>
      <c r="H196" s="58"/>
      <c r="I196" s="58"/>
      <c r="J196" s="61">
        <f t="shared" si="270"/>
        <v>0</v>
      </c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>
        <f t="shared" si="253"/>
        <v>0</v>
      </c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>
        <f t="shared" si="271"/>
        <v>0</v>
      </c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>
        <f t="shared" si="255"/>
        <v>0</v>
      </c>
      <c r="AX196" s="35">
        <f t="shared" si="256"/>
        <v>0</v>
      </c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>
        <f t="shared" si="257"/>
        <v>0</v>
      </c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>
        <f t="shared" si="258"/>
        <v>0</v>
      </c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>
        <f t="shared" si="259"/>
        <v>0</v>
      </c>
      <c r="CL196" s="35">
        <f t="shared" si="260"/>
        <v>0</v>
      </c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>
        <f t="shared" si="261"/>
        <v>0</v>
      </c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>
        <f t="shared" si="262"/>
        <v>0</v>
      </c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>
        <f t="shared" si="263"/>
        <v>0</v>
      </c>
      <c r="DZ196" s="35">
        <f t="shared" si="264"/>
        <v>0</v>
      </c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>
        <f t="shared" si="265"/>
        <v>0</v>
      </c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>
        <f t="shared" si="266"/>
        <v>0</v>
      </c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>
        <f t="shared" si="267"/>
        <v>0</v>
      </c>
      <c r="FN196" s="35">
        <f t="shared" si="268"/>
        <v>0</v>
      </c>
      <c r="FO196" s="35">
        <f t="shared" si="269"/>
        <v>0</v>
      </c>
    </row>
    <row r="197" spans="1:171" x14ac:dyDescent="0.35">
      <c r="A197" s="34"/>
      <c r="B197" s="40"/>
      <c r="C197" s="58"/>
      <c r="D197" s="41" t="s">
        <v>168</v>
      </c>
      <c r="E197" s="58"/>
      <c r="F197" s="58"/>
      <c r="G197" s="58"/>
      <c r="H197" s="58"/>
      <c r="I197" s="58"/>
      <c r="J197" s="61">
        <f t="shared" si="270"/>
        <v>0</v>
      </c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>
        <f t="shared" si="253"/>
        <v>0</v>
      </c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>
        <f t="shared" si="271"/>
        <v>0</v>
      </c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>
        <f t="shared" si="255"/>
        <v>0</v>
      </c>
      <c r="AX197" s="35">
        <f t="shared" si="256"/>
        <v>0</v>
      </c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>
        <f t="shared" si="257"/>
        <v>0</v>
      </c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>
        <f t="shared" si="258"/>
        <v>0</v>
      </c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>
        <f t="shared" si="259"/>
        <v>0</v>
      </c>
      <c r="CL197" s="35">
        <f t="shared" si="260"/>
        <v>0</v>
      </c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>
        <f t="shared" si="261"/>
        <v>0</v>
      </c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>
        <f t="shared" si="262"/>
        <v>0</v>
      </c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>
        <f t="shared" si="263"/>
        <v>0</v>
      </c>
      <c r="DZ197" s="35">
        <f t="shared" si="264"/>
        <v>0</v>
      </c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>
        <f t="shared" si="265"/>
        <v>0</v>
      </c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>
        <f t="shared" si="266"/>
        <v>0</v>
      </c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>
        <f t="shared" si="267"/>
        <v>0</v>
      </c>
      <c r="FN197" s="35">
        <f t="shared" si="268"/>
        <v>0</v>
      </c>
      <c r="FO197" s="35">
        <f t="shared" si="269"/>
        <v>0</v>
      </c>
    </row>
    <row r="198" spans="1:171" x14ac:dyDescent="0.35">
      <c r="A198" s="34"/>
      <c r="B198" s="40"/>
      <c r="C198" s="58"/>
      <c r="D198" s="41" t="s">
        <v>169</v>
      </c>
      <c r="E198" s="58"/>
      <c r="F198" s="58"/>
      <c r="G198" s="58"/>
      <c r="H198" s="58"/>
      <c r="I198" s="58"/>
      <c r="J198" s="61">
        <f t="shared" si="270"/>
        <v>0</v>
      </c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>
        <f t="shared" si="253"/>
        <v>0</v>
      </c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>
        <f t="shared" si="271"/>
        <v>0</v>
      </c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>
        <f t="shared" si="255"/>
        <v>0</v>
      </c>
      <c r="AX198" s="35">
        <f t="shared" si="256"/>
        <v>0</v>
      </c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>
        <f t="shared" si="257"/>
        <v>0</v>
      </c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>
        <f t="shared" si="258"/>
        <v>0</v>
      </c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>
        <f t="shared" si="259"/>
        <v>0</v>
      </c>
      <c r="CL198" s="35">
        <f t="shared" si="260"/>
        <v>0</v>
      </c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>
        <f t="shared" si="261"/>
        <v>0</v>
      </c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>
        <f t="shared" si="262"/>
        <v>0</v>
      </c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>
        <f t="shared" si="263"/>
        <v>0</v>
      </c>
      <c r="DZ198" s="35">
        <f t="shared" si="264"/>
        <v>0</v>
      </c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>
        <f t="shared" si="265"/>
        <v>0</v>
      </c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>
        <f t="shared" si="266"/>
        <v>0</v>
      </c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>
        <f t="shared" si="267"/>
        <v>0</v>
      </c>
      <c r="FN198" s="35">
        <f t="shared" si="268"/>
        <v>0</v>
      </c>
      <c r="FO198" s="35">
        <f t="shared" si="269"/>
        <v>0</v>
      </c>
    </row>
    <row r="199" spans="1:171" x14ac:dyDescent="0.35">
      <c r="A199" s="34"/>
      <c r="B199" s="40"/>
      <c r="C199" s="58"/>
      <c r="D199" s="41" t="s">
        <v>170</v>
      </c>
      <c r="E199" s="58"/>
      <c r="F199" s="58"/>
      <c r="G199" s="58"/>
      <c r="H199" s="58"/>
      <c r="I199" s="58"/>
      <c r="J199" s="61">
        <f t="shared" si="270"/>
        <v>0</v>
      </c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>
        <f t="shared" si="253"/>
        <v>0</v>
      </c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>
        <f t="shared" si="271"/>
        <v>0</v>
      </c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>
        <f t="shared" si="255"/>
        <v>0</v>
      </c>
      <c r="AX199" s="35">
        <f t="shared" si="256"/>
        <v>0</v>
      </c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>
        <f t="shared" si="257"/>
        <v>0</v>
      </c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>
        <f t="shared" si="258"/>
        <v>0</v>
      </c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>
        <f t="shared" si="259"/>
        <v>0</v>
      </c>
      <c r="CL199" s="35">
        <f t="shared" si="260"/>
        <v>0</v>
      </c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>
        <f t="shared" si="261"/>
        <v>0</v>
      </c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>
        <f t="shared" si="262"/>
        <v>0</v>
      </c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>
        <f t="shared" si="263"/>
        <v>0</v>
      </c>
      <c r="DZ199" s="35">
        <f t="shared" si="264"/>
        <v>0</v>
      </c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>
        <f t="shared" si="265"/>
        <v>0</v>
      </c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>
        <f t="shared" si="266"/>
        <v>0</v>
      </c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>
        <f t="shared" si="267"/>
        <v>0</v>
      </c>
      <c r="FN199" s="35">
        <f t="shared" si="268"/>
        <v>0</v>
      </c>
      <c r="FO199" s="35">
        <f t="shared" si="269"/>
        <v>0</v>
      </c>
    </row>
    <row r="200" spans="1:171" x14ac:dyDescent="0.35">
      <c r="A200" s="34"/>
      <c r="B200" s="40"/>
      <c r="C200" s="58"/>
      <c r="D200" s="41" t="s">
        <v>242</v>
      </c>
      <c r="E200" s="58"/>
      <c r="F200" s="58"/>
      <c r="G200" s="58"/>
      <c r="H200" s="58"/>
      <c r="I200" s="58"/>
      <c r="J200" s="61">
        <f t="shared" si="270"/>
        <v>0</v>
      </c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>
        <f t="shared" ref="W200:W202" si="272">SUM(K200:V200)</f>
        <v>0</v>
      </c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>
        <f t="shared" si="271"/>
        <v>0</v>
      </c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>
        <f t="shared" ref="AW200:AW202" si="273">SUM(AK200:AV200)</f>
        <v>0</v>
      </c>
      <c r="AX200" s="35">
        <f t="shared" si="256"/>
        <v>0</v>
      </c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>
        <f t="shared" ref="BK200:BK201" si="274">SUM(AY200:BJ200)</f>
        <v>0</v>
      </c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>
        <f t="shared" si="258"/>
        <v>0</v>
      </c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>
        <f t="shared" si="259"/>
        <v>0</v>
      </c>
      <c r="CL200" s="35">
        <f t="shared" si="260"/>
        <v>0</v>
      </c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>
        <f t="shared" si="261"/>
        <v>0</v>
      </c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>
        <f t="shared" si="262"/>
        <v>0</v>
      </c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>
        <f t="shared" si="263"/>
        <v>0</v>
      </c>
      <c r="DZ200" s="35">
        <f t="shared" si="264"/>
        <v>0</v>
      </c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>
        <f t="shared" si="265"/>
        <v>0</v>
      </c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>
        <f t="shared" si="266"/>
        <v>0</v>
      </c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>
        <f t="shared" si="267"/>
        <v>0</v>
      </c>
      <c r="FN200" s="35">
        <f t="shared" si="268"/>
        <v>0</v>
      </c>
      <c r="FO200" s="35">
        <f t="shared" si="269"/>
        <v>0</v>
      </c>
    </row>
    <row r="201" spans="1:171" x14ac:dyDescent="0.35">
      <c r="A201" s="34"/>
      <c r="B201" s="40"/>
      <c r="C201" s="58"/>
      <c r="D201" s="41"/>
      <c r="E201" s="58"/>
      <c r="F201" s="58"/>
      <c r="G201" s="58"/>
      <c r="H201" s="58"/>
      <c r="I201" s="58"/>
      <c r="J201" s="58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>
        <f t="shared" si="272"/>
        <v>0</v>
      </c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>
        <f t="shared" si="271"/>
        <v>0</v>
      </c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>
        <f t="shared" si="273"/>
        <v>0</v>
      </c>
      <c r="AX201" s="35">
        <f t="shared" si="256"/>
        <v>0</v>
      </c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>
        <f t="shared" si="274"/>
        <v>0</v>
      </c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>
        <f t="shared" si="258"/>
        <v>0</v>
      </c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>
        <f t="shared" si="259"/>
        <v>0</v>
      </c>
      <c r="CL201" s="35">
        <f t="shared" si="260"/>
        <v>0</v>
      </c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>
        <f t="shared" si="261"/>
        <v>0</v>
      </c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>
        <f t="shared" si="262"/>
        <v>0</v>
      </c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>
        <f t="shared" si="263"/>
        <v>0</v>
      </c>
      <c r="DZ201" s="35">
        <f t="shared" si="264"/>
        <v>0</v>
      </c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>
        <f t="shared" si="265"/>
        <v>0</v>
      </c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>
        <f t="shared" si="266"/>
        <v>0</v>
      </c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>
        <f t="shared" si="267"/>
        <v>0</v>
      </c>
      <c r="FN201" s="35">
        <f t="shared" si="268"/>
        <v>0</v>
      </c>
      <c r="FO201" s="35">
        <f t="shared" si="269"/>
        <v>0</v>
      </c>
    </row>
    <row r="202" spans="1:171" x14ac:dyDescent="0.35">
      <c r="A202" s="48"/>
      <c r="B202" s="49" t="s">
        <v>117</v>
      </c>
      <c r="C202" s="59"/>
      <c r="D202" s="50"/>
      <c r="E202" s="59"/>
      <c r="F202" s="59"/>
      <c r="G202" s="59"/>
      <c r="H202" s="59"/>
      <c r="I202" s="59"/>
      <c r="J202" s="51">
        <f>SUM(J162:J201)</f>
        <v>0</v>
      </c>
      <c r="K202" s="51">
        <f>SUM(K162:K201)</f>
        <v>22400</v>
      </c>
      <c r="L202" s="51">
        <f t="shared" ref="L202:V202" si="275">SUM(L162:L201)</f>
        <v>0</v>
      </c>
      <c r="M202" s="51">
        <f t="shared" si="275"/>
        <v>0</v>
      </c>
      <c r="N202" s="51">
        <f t="shared" si="275"/>
        <v>0</v>
      </c>
      <c r="O202" s="51">
        <f t="shared" si="275"/>
        <v>0</v>
      </c>
      <c r="P202" s="51">
        <f t="shared" si="275"/>
        <v>0</v>
      </c>
      <c r="Q202" s="51">
        <f t="shared" si="275"/>
        <v>0</v>
      </c>
      <c r="R202" s="51">
        <f t="shared" si="275"/>
        <v>0</v>
      </c>
      <c r="S202" s="51">
        <f t="shared" si="275"/>
        <v>0</v>
      </c>
      <c r="T202" s="51">
        <f t="shared" si="275"/>
        <v>0</v>
      </c>
      <c r="U202" s="51">
        <f t="shared" si="275"/>
        <v>0</v>
      </c>
      <c r="V202" s="51">
        <f t="shared" si="275"/>
        <v>0</v>
      </c>
      <c r="W202" s="51">
        <f t="shared" si="272"/>
        <v>22400</v>
      </c>
      <c r="X202" s="51">
        <f>SUM(X162:X201)</f>
        <v>22400</v>
      </c>
      <c r="Y202" s="51">
        <f t="shared" ref="Y202:AI202" si="276">SUM(Y162:Y201)</f>
        <v>0</v>
      </c>
      <c r="Z202" s="51">
        <f t="shared" si="276"/>
        <v>0</v>
      </c>
      <c r="AA202" s="51">
        <f t="shared" si="276"/>
        <v>0</v>
      </c>
      <c r="AB202" s="51">
        <f t="shared" si="276"/>
        <v>0</v>
      </c>
      <c r="AC202" s="51">
        <f t="shared" si="276"/>
        <v>0</v>
      </c>
      <c r="AD202" s="51">
        <f t="shared" si="276"/>
        <v>0</v>
      </c>
      <c r="AE202" s="51">
        <f t="shared" si="276"/>
        <v>0</v>
      </c>
      <c r="AF202" s="51">
        <f t="shared" si="276"/>
        <v>0</v>
      </c>
      <c r="AG202" s="51">
        <f t="shared" si="276"/>
        <v>0</v>
      </c>
      <c r="AH202" s="51">
        <f t="shared" si="276"/>
        <v>0</v>
      </c>
      <c r="AI202" s="51">
        <f t="shared" si="276"/>
        <v>0</v>
      </c>
      <c r="AJ202" s="51">
        <f t="shared" si="271"/>
        <v>22400</v>
      </c>
      <c r="AK202" s="51">
        <f>SUM(AK162:AK201)</f>
        <v>22400</v>
      </c>
      <c r="AL202" s="51">
        <f t="shared" ref="AL202:AV202" si="277">SUM(AL162:AL201)</f>
        <v>0</v>
      </c>
      <c r="AM202" s="51">
        <f t="shared" si="277"/>
        <v>0</v>
      </c>
      <c r="AN202" s="51">
        <f t="shared" si="277"/>
        <v>0</v>
      </c>
      <c r="AO202" s="51">
        <f t="shared" si="277"/>
        <v>0</v>
      </c>
      <c r="AP202" s="51">
        <f t="shared" si="277"/>
        <v>0</v>
      </c>
      <c r="AQ202" s="51">
        <f t="shared" si="277"/>
        <v>0</v>
      </c>
      <c r="AR202" s="51">
        <f t="shared" si="277"/>
        <v>0</v>
      </c>
      <c r="AS202" s="51">
        <f t="shared" si="277"/>
        <v>0</v>
      </c>
      <c r="AT202" s="51">
        <f t="shared" si="277"/>
        <v>0</v>
      </c>
      <c r="AU202" s="51">
        <f t="shared" si="277"/>
        <v>0</v>
      </c>
      <c r="AV202" s="51">
        <f t="shared" si="277"/>
        <v>0</v>
      </c>
      <c r="AW202" s="51">
        <f t="shared" si="273"/>
        <v>22400</v>
      </c>
      <c r="AX202" s="51">
        <f t="shared" si="256"/>
        <v>67200</v>
      </c>
      <c r="AY202" s="51">
        <f>SUM(AY162:AY201)</f>
        <v>22400</v>
      </c>
      <c r="AZ202" s="51">
        <f t="shared" ref="AZ202:BJ202" si="278">SUM(AZ162:AZ201)</f>
        <v>0</v>
      </c>
      <c r="BA202" s="51">
        <f t="shared" si="278"/>
        <v>0</v>
      </c>
      <c r="BB202" s="51">
        <f t="shared" si="278"/>
        <v>0</v>
      </c>
      <c r="BC202" s="51">
        <f t="shared" si="278"/>
        <v>0</v>
      </c>
      <c r="BD202" s="51">
        <f t="shared" si="278"/>
        <v>0</v>
      </c>
      <c r="BE202" s="51">
        <f t="shared" si="278"/>
        <v>0</v>
      </c>
      <c r="BF202" s="51">
        <f t="shared" si="278"/>
        <v>0</v>
      </c>
      <c r="BG202" s="51">
        <f t="shared" si="278"/>
        <v>0</v>
      </c>
      <c r="BH202" s="51">
        <f t="shared" si="278"/>
        <v>0</v>
      </c>
      <c r="BI202" s="51">
        <f t="shared" si="278"/>
        <v>0</v>
      </c>
      <c r="BJ202" s="51">
        <f t="shared" si="278"/>
        <v>0</v>
      </c>
      <c r="BK202" s="51">
        <f>SUM(AY202:BJ202)</f>
        <v>22400</v>
      </c>
      <c r="BL202" s="51">
        <f>SUM(BL162:BL201)</f>
        <v>22400</v>
      </c>
      <c r="BM202" s="51">
        <f t="shared" ref="BM202:BW202" si="279">SUM(BM162:BM201)</f>
        <v>0</v>
      </c>
      <c r="BN202" s="51">
        <f t="shared" si="279"/>
        <v>0</v>
      </c>
      <c r="BO202" s="51">
        <f t="shared" si="279"/>
        <v>0</v>
      </c>
      <c r="BP202" s="51">
        <f t="shared" si="279"/>
        <v>0</v>
      </c>
      <c r="BQ202" s="51">
        <f t="shared" si="279"/>
        <v>0</v>
      </c>
      <c r="BR202" s="51">
        <f t="shared" si="279"/>
        <v>0</v>
      </c>
      <c r="BS202" s="51">
        <f t="shared" si="279"/>
        <v>0</v>
      </c>
      <c r="BT202" s="51">
        <f t="shared" si="279"/>
        <v>0</v>
      </c>
      <c r="BU202" s="51">
        <f t="shared" si="279"/>
        <v>0</v>
      </c>
      <c r="BV202" s="51">
        <f t="shared" si="279"/>
        <v>0</v>
      </c>
      <c r="BW202" s="51">
        <f t="shared" si="279"/>
        <v>0</v>
      </c>
      <c r="BX202" s="51">
        <f>SUM(BL202:BW202)</f>
        <v>22400</v>
      </c>
      <c r="BY202" s="51">
        <f>SUM(BY162:BY201)</f>
        <v>22400</v>
      </c>
      <c r="BZ202" s="51">
        <f t="shared" ref="BZ202:CJ202" si="280">SUM(BZ162:BZ201)</f>
        <v>0</v>
      </c>
      <c r="CA202" s="51">
        <f t="shared" si="280"/>
        <v>0</v>
      </c>
      <c r="CB202" s="51">
        <f t="shared" si="280"/>
        <v>0</v>
      </c>
      <c r="CC202" s="51">
        <f t="shared" si="280"/>
        <v>0</v>
      </c>
      <c r="CD202" s="51">
        <f t="shared" si="280"/>
        <v>0</v>
      </c>
      <c r="CE202" s="51">
        <f t="shared" si="280"/>
        <v>0</v>
      </c>
      <c r="CF202" s="51">
        <f t="shared" si="280"/>
        <v>0</v>
      </c>
      <c r="CG202" s="51">
        <f t="shared" si="280"/>
        <v>0</v>
      </c>
      <c r="CH202" s="51">
        <f t="shared" si="280"/>
        <v>0</v>
      </c>
      <c r="CI202" s="51">
        <f t="shared" si="280"/>
        <v>0</v>
      </c>
      <c r="CJ202" s="51">
        <f t="shared" si="280"/>
        <v>0</v>
      </c>
      <c r="CK202" s="51">
        <f t="shared" si="259"/>
        <v>22400</v>
      </c>
      <c r="CL202" s="51">
        <f>+BK202+BX202+CK202</f>
        <v>67200</v>
      </c>
      <c r="CM202" s="51">
        <f>SUM(CM162:CM201)</f>
        <v>22400</v>
      </c>
      <c r="CN202" s="51">
        <f t="shared" ref="CN202:CX202" si="281">SUM(CN162:CN201)</f>
        <v>0</v>
      </c>
      <c r="CO202" s="51">
        <f t="shared" si="281"/>
        <v>0</v>
      </c>
      <c r="CP202" s="51">
        <f t="shared" si="281"/>
        <v>0</v>
      </c>
      <c r="CQ202" s="51">
        <f t="shared" si="281"/>
        <v>0</v>
      </c>
      <c r="CR202" s="51">
        <f t="shared" si="281"/>
        <v>0</v>
      </c>
      <c r="CS202" s="51">
        <f t="shared" si="281"/>
        <v>0</v>
      </c>
      <c r="CT202" s="51">
        <f t="shared" si="281"/>
        <v>0</v>
      </c>
      <c r="CU202" s="51">
        <f t="shared" si="281"/>
        <v>0</v>
      </c>
      <c r="CV202" s="51">
        <f t="shared" si="281"/>
        <v>0</v>
      </c>
      <c r="CW202" s="51">
        <f t="shared" si="281"/>
        <v>0</v>
      </c>
      <c r="CX202" s="51">
        <f t="shared" si="281"/>
        <v>0</v>
      </c>
      <c r="CY202" s="51">
        <f t="shared" si="261"/>
        <v>22400</v>
      </c>
      <c r="CZ202" s="51">
        <f>SUM(CZ162:CZ201)</f>
        <v>22400</v>
      </c>
      <c r="DA202" s="51">
        <f t="shared" ref="DA202:DK202" si="282">SUM(DA162:DA201)</f>
        <v>0</v>
      </c>
      <c r="DB202" s="51">
        <f t="shared" si="282"/>
        <v>0</v>
      </c>
      <c r="DC202" s="51">
        <f t="shared" si="282"/>
        <v>0</v>
      </c>
      <c r="DD202" s="51">
        <f t="shared" si="282"/>
        <v>0</v>
      </c>
      <c r="DE202" s="51">
        <f t="shared" si="282"/>
        <v>0</v>
      </c>
      <c r="DF202" s="51">
        <f t="shared" si="282"/>
        <v>0</v>
      </c>
      <c r="DG202" s="51">
        <f t="shared" si="282"/>
        <v>0</v>
      </c>
      <c r="DH202" s="51">
        <f t="shared" si="282"/>
        <v>0</v>
      </c>
      <c r="DI202" s="51">
        <f t="shared" si="282"/>
        <v>0</v>
      </c>
      <c r="DJ202" s="51">
        <f t="shared" si="282"/>
        <v>0</v>
      </c>
      <c r="DK202" s="51">
        <f t="shared" si="282"/>
        <v>0</v>
      </c>
      <c r="DL202" s="51">
        <f>SUM(CZ202:DK202)</f>
        <v>22400</v>
      </c>
      <c r="DM202" s="51">
        <f>SUM(DM162:DM201)</f>
        <v>22400</v>
      </c>
      <c r="DN202" s="51">
        <f t="shared" ref="DN202:DX202" si="283">SUM(DN162:DN201)</f>
        <v>0</v>
      </c>
      <c r="DO202" s="51">
        <f t="shared" si="283"/>
        <v>0</v>
      </c>
      <c r="DP202" s="51">
        <f t="shared" si="283"/>
        <v>0</v>
      </c>
      <c r="DQ202" s="51">
        <f t="shared" si="283"/>
        <v>0</v>
      </c>
      <c r="DR202" s="51">
        <f t="shared" si="283"/>
        <v>0</v>
      </c>
      <c r="DS202" s="51">
        <f t="shared" si="283"/>
        <v>0</v>
      </c>
      <c r="DT202" s="51">
        <f t="shared" si="283"/>
        <v>0</v>
      </c>
      <c r="DU202" s="51">
        <f t="shared" si="283"/>
        <v>0</v>
      </c>
      <c r="DV202" s="51">
        <f t="shared" si="283"/>
        <v>0</v>
      </c>
      <c r="DW202" s="51">
        <f t="shared" si="283"/>
        <v>0</v>
      </c>
      <c r="DX202" s="51">
        <f t="shared" si="283"/>
        <v>0</v>
      </c>
      <c r="DY202" s="51">
        <f t="shared" si="263"/>
        <v>22400</v>
      </c>
      <c r="DZ202" s="51">
        <f>+CY202+DL202+DY202</f>
        <v>67200</v>
      </c>
      <c r="EA202" s="51">
        <f>SUM(EA162:EA201)</f>
        <v>22400</v>
      </c>
      <c r="EB202" s="51">
        <f t="shared" ref="EB202:EL202" si="284">SUM(EB162:EB201)</f>
        <v>0</v>
      </c>
      <c r="EC202" s="51">
        <f t="shared" si="284"/>
        <v>0</v>
      </c>
      <c r="ED202" s="51">
        <f t="shared" si="284"/>
        <v>0</v>
      </c>
      <c r="EE202" s="51">
        <f t="shared" si="284"/>
        <v>0</v>
      </c>
      <c r="EF202" s="51">
        <f t="shared" si="284"/>
        <v>0</v>
      </c>
      <c r="EG202" s="51">
        <f t="shared" si="284"/>
        <v>0</v>
      </c>
      <c r="EH202" s="51">
        <f t="shared" si="284"/>
        <v>0</v>
      </c>
      <c r="EI202" s="51">
        <f t="shared" si="284"/>
        <v>0</v>
      </c>
      <c r="EJ202" s="51">
        <f t="shared" si="284"/>
        <v>0</v>
      </c>
      <c r="EK202" s="51">
        <f t="shared" si="284"/>
        <v>0</v>
      </c>
      <c r="EL202" s="51">
        <f t="shared" si="284"/>
        <v>0</v>
      </c>
      <c r="EM202" s="51">
        <f t="shared" si="265"/>
        <v>22400</v>
      </c>
      <c r="EN202" s="51">
        <f>SUM(EN162:EN201)</f>
        <v>22400</v>
      </c>
      <c r="EO202" s="51">
        <f t="shared" ref="EO202:EY202" si="285">SUM(EO162:EO201)</f>
        <v>0</v>
      </c>
      <c r="EP202" s="51">
        <f t="shared" si="285"/>
        <v>0</v>
      </c>
      <c r="EQ202" s="51">
        <f t="shared" si="285"/>
        <v>0</v>
      </c>
      <c r="ER202" s="51">
        <f t="shared" si="285"/>
        <v>0</v>
      </c>
      <c r="ES202" s="51">
        <f t="shared" si="285"/>
        <v>0</v>
      </c>
      <c r="ET202" s="51">
        <f t="shared" si="285"/>
        <v>0</v>
      </c>
      <c r="EU202" s="51">
        <f t="shared" si="285"/>
        <v>0</v>
      </c>
      <c r="EV202" s="51">
        <f t="shared" si="285"/>
        <v>0</v>
      </c>
      <c r="EW202" s="51">
        <f t="shared" si="285"/>
        <v>0</v>
      </c>
      <c r="EX202" s="51">
        <f t="shared" si="285"/>
        <v>0</v>
      </c>
      <c r="EY202" s="51">
        <f t="shared" si="285"/>
        <v>0</v>
      </c>
      <c r="EZ202" s="51">
        <f>SUM(EN202:EY202)</f>
        <v>22400</v>
      </c>
      <c r="FA202" s="51">
        <f>SUM(FA162:FA201)</f>
        <v>22400</v>
      </c>
      <c r="FB202" s="51">
        <f t="shared" ref="FB202:FL202" si="286">SUM(FB162:FB201)</f>
        <v>0</v>
      </c>
      <c r="FC202" s="51">
        <f t="shared" si="286"/>
        <v>0</v>
      </c>
      <c r="FD202" s="51">
        <f t="shared" si="286"/>
        <v>0</v>
      </c>
      <c r="FE202" s="51">
        <f t="shared" si="286"/>
        <v>0</v>
      </c>
      <c r="FF202" s="51">
        <f t="shared" si="286"/>
        <v>0</v>
      </c>
      <c r="FG202" s="51">
        <f t="shared" si="286"/>
        <v>0</v>
      </c>
      <c r="FH202" s="51">
        <f t="shared" si="286"/>
        <v>0</v>
      </c>
      <c r="FI202" s="51">
        <f t="shared" si="286"/>
        <v>0</v>
      </c>
      <c r="FJ202" s="51">
        <f t="shared" si="286"/>
        <v>0</v>
      </c>
      <c r="FK202" s="51">
        <f t="shared" si="286"/>
        <v>0</v>
      </c>
      <c r="FL202" s="51">
        <f t="shared" si="286"/>
        <v>0</v>
      </c>
      <c r="FM202" s="51">
        <f t="shared" si="267"/>
        <v>22400</v>
      </c>
      <c r="FN202" s="51">
        <f>+EM202+EZ202+FM202</f>
        <v>67200</v>
      </c>
      <c r="FO202" s="35">
        <f t="shared" si="269"/>
        <v>268800</v>
      </c>
    </row>
    <row r="203" spans="1:171" x14ac:dyDescent="0.35">
      <c r="A203" s="34" t="s">
        <v>4</v>
      </c>
      <c r="B203" s="40" t="s">
        <v>104</v>
      </c>
      <c r="C203" s="58"/>
      <c r="D203" s="41"/>
      <c r="E203" s="58"/>
      <c r="F203" s="58"/>
      <c r="G203" s="58"/>
      <c r="H203" s="58"/>
      <c r="I203" s="58"/>
      <c r="J203" s="58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>
        <f t="shared" ref="W203:W219" si="287">SUM(K203:V203)</f>
        <v>0</v>
      </c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>
        <f t="shared" ref="AJ203:AJ215" si="288">SUM(X203:AI203)</f>
        <v>0</v>
      </c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>
        <f t="shared" ref="AW203:AW215" si="289">SUM(AK203:AV203)</f>
        <v>0</v>
      </c>
      <c r="AX203" s="35">
        <f t="shared" si="256"/>
        <v>0</v>
      </c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>
        <f t="shared" ref="BK203:BK219" si="290">SUM(AY203:BJ203)</f>
        <v>0</v>
      </c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>
        <f t="shared" ref="BX203:BX219" si="291">SUM(BL203:BW203)</f>
        <v>0</v>
      </c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>
        <f t="shared" ref="CK203:CK241" si="292">SUM(BY203:CJ203)</f>
        <v>0</v>
      </c>
      <c r="CL203" s="35">
        <f t="shared" ref="CL203:CL243" si="293">+BK203+BX203+CK203</f>
        <v>0</v>
      </c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>
        <f t="shared" si="261"/>
        <v>0</v>
      </c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>
        <f t="shared" ref="DL203:DL243" si="294">SUM(CZ203:DK203)</f>
        <v>0</v>
      </c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>
        <f t="shared" si="263"/>
        <v>0</v>
      </c>
      <c r="DZ203" s="35">
        <f t="shared" ref="DZ203:DZ243" si="295">+CY203+DL203+DY203</f>
        <v>0</v>
      </c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>
        <f t="shared" si="265"/>
        <v>0</v>
      </c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>
        <f t="shared" ref="EZ203:EZ243" si="296">SUM(EN203:EY203)</f>
        <v>0</v>
      </c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>
        <f t="shared" si="267"/>
        <v>0</v>
      </c>
      <c r="FN203" s="35">
        <f t="shared" ref="FN203:FN243" si="297">+EM203+EZ203+FM203</f>
        <v>0</v>
      </c>
      <c r="FO203" s="35">
        <f t="shared" si="269"/>
        <v>0</v>
      </c>
    </row>
    <row r="204" spans="1:171" x14ac:dyDescent="0.35">
      <c r="A204" s="34"/>
      <c r="B204" s="40"/>
      <c r="C204" s="58"/>
      <c r="D204" s="80" t="s">
        <v>189</v>
      </c>
      <c r="E204" s="58" t="s">
        <v>8</v>
      </c>
      <c r="F204" s="58" t="s">
        <v>18</v>
      </c>
      <c r="G204" s="58"/>
      <c r="H204" s="58"/>
      <c r="I204" s="58"/>
      <c r="J204" s="61">
        <f>+H204+I204</f>
        <v>0</v>
      </c>
      <c r="K204" s="35"/>
      <c r="L204" s="35"/>
      <c r="M204" s="35"/>
      <c r="N204" s="35"/>
      <c r="O204" s="35"/>
      <c r="P204" s="35"/>
      <c r="Q204" s="35">
        <v>5600</v>
      </c>
      <c r="R204" s="35"/>
      <c r="S204" s="35"/>
      <c r="T204" s="35"/>
      <c r="U204" s="35"/>
      <c r="V204" s="35"/>
      <c r="W204" s="35">
        <f t="shared" si="287"/>
        <v>5600</v>
      </c>
      <c r="X204" s="35"/>
      <c r="Y204" s="35"/>
      <c r="Z204" s="35"/>
      <c r="AA204" s="35"/>
      <c r="AB204" s="35"/>
      <c r="AC204" s="35"/>
      <c r="AD204" s="35">
        <v>5600</v>
      </c>
      <c r="AE204" s="35"/>
      <c r="AF204" s="35"/>
      <c r="AG204" s="35"/>
      <c r="AH204" s="35"/>
      <c r="AI204" s="35"/>
      <c r="AJ204" s="35">
        <f t="shared" si="288"/>
        <v>5600</v>
      </c>
      <c r="AK204" s="35"/>
      <c r="AL204" s="35"/>
      <c r="AM204" s="35"/>
      <c r="AN204" s="35"/>
      <c r="AO204" s="35"/>
      <c r="AP204" s="35"/>
      <c r="AQ204" s="35">
        <v>5600</v>
      </c>
      <c r="AR204" s="35"/>
      <c r="AS204" s="35"/>
      <c r="AT204" s="35"/>
      <c r="AU204" s="35"/>
      <c r="AV204" s="35"/>
      <c r="AW204" s="35">
        <f t="shared" si="289"/>
        <v>5600</v>
      </c>
      <c r="AX204" s="35">
        <f t="shared" si="256"/>
        <v>16800</v>
      </c>
      <c r="AY204" s="35"/>
      <c r="AZ204" s="35"/>
      <c r="BA204" s="35"/>
      <c r="BB204" s="35"/>
      <c r="BC204" s="35"/>
      <c r="BD204" s="35"/>
      <c r="BE204" s="35">
        <v>5600</v>
      </c>
      <c r="BF204" s="35"/>
      <c r="BG204" s="35"/>
      <c r="BH204" s="35"/>
      <c r="BI204" s="35"/>
      <c r="BJ204" s="35"/>
      <c r="BK204" s="35">
        <f t="shared" si="290"/>
        <v>5600</v>
      </c>
      <c r="BL204" s="35"/>
      <c r="BM204" s="35"/>
      <c r="BN204" s="35"/>
      <c r="BO204" s="35"/>
      <c r="BP204" s="35"/>
      <c r="BQ204" s="35"/>
      <c r="BR204" s="35">
        <v>5600</v>
      </c>
      <c r="BS204" s="35"/>
      <c r="BT204" s="35"/>
      <c r="BU204" s="35"/>
      <c r="BV204" s="35"/>
      <c r="BW204" s="35"/>
      <c r="BX204" s="35">
        <f t="shared" si="291"/>
        <v>5600</v>
      </c>
      <c r="BY204" s="35"/>
      <c r="BZ204" s="35"/>
      <c r="CA204" s="35"/>
      <c r="CB204" s="35"/>
      <c r="CC204" s="35"/>
      <c r="CD204" s="35"/>
      <c r="CE204" s="35">
        <v>5600</v>
      </c>
      <c r="CF204" s="35"/>
      <c r="CG204" s="35"/>
      <c r="CH204" s="35"/>
      <c r="CI204" s="35"/>
      <c r="CJ204" s="35"/>
      <c r="CK204" s="35">
        <f t="shared" si="292"/>
        <v>5600</v>
      </c>
      <c r="CL204" s="35">
        <f t="shared" si="293"/>
        <v>16800</v>
      </c>
      <c r="CM204" s="35"/>
      <c r="CN204" s="35"/>
      <c r="CO204" s="35"/>
      <c r="CP204" s="35"/>
      <c r="CQ204" s="35"/>
      <c r="CR204" s="35"/>
      <c r="CS204" s="35">
        <v>5600</v>
      </c>
      <c r="CT204" s="35"/>
      <c r="CU204" s="35"/>
      <c r="CV204" s="35"/>
      <c r="CW204" s="35"/>
      <c r="CX204" s="35"/>
      <c r="CY204" s="35">
        <f t="shared" si="261"/>
        <v>5600</v>
      </c>
      <c r="CZ204" s="35"/>
      <c r="DA204" s="35"/>
      <c r="DB204" s="35"/>
      <c r="DC204" s="35"/>
      <c r="DD204" s="35"/>
      <c r="DE204" s="35"/>
      <c r="DF204" s="35">
        <v>5600</v>
      </c>
      <c r="DG204" s="35"/>
      <c r="DH204" s="35"/>
      <c r="DI204" s="35"/>
      <c r="DJ204" s="35"/>
      <c r="DK204" s="35"/>
      <c r="DL204" s="35">
        <f t="shared" si="294"/>
        <v>5600</v>
      </c>
      <c r="DM204" s="35"/>
      <c r="DN204" s="35"/>
      <c r="DO204" s="35"/>
      <c r="DP204" s="35"/>
      <c r="DQ204" s="35"/>
      <c r="DR204" s="35"/>
      <c r="DS204" s="35">
        <v>5600</v>
      </c>
      <c r="DT204" s="35"/>
      <c r="DU204" s="35"/>
      <c r="DV204" s="35"/>
      <c r="DW204" s="35"/>
      <c r="DX204" s="35"/>
      <c r="DY204" s="35">
        <f t="shared" si="263"/>
        <v>5600</v>
      </c>
      <c r="DZ204" s="35">
        <f t="shared" si="295"/>
        <v>16800</v>
      </c>
      <c r="EA204" s="35"/>
      <c r="EB204" s="35"/>
      <c r="EC204" s="35"/>
      <c r="ED204" s="35"/>
      <c r="EE204" s="35"/>
      <c r="EF204" s="35"/>
      <c r="EG204" s="35">
        <v>5600</v>
      </c>
      <c r="EH204" s="35"/>
      <c r="EI204" s="35"/>
      <c r="EJ204" s="35"/>
      <c r="EK204" s="35"/>
      <c r="EL204" s="35"/>
      <c r="EM204" s="35">
        <f t="shared" si="265"/>
        <v>5600</v>
      </c>
      <c r="EN204" s="35"/>
      <c r="EO204" s="35"/>
      <c r="EP204" s="35"/>
      <c r="EQ204" s="35"/>
      <c r="ER204" s="35"/>
      <c r="ES204" s="35"/>
      <c r="ET204" s="35">
        <v>5600</v>
      </c>
      <c r="EU204" s="35"/>
      <c r="EV204" s="35"/>
      <c r="EW204" s="35"/>
      <c r="EX204" s="35"/>
      <c r="EY204" s="35"/>
      <c r="EZ204" s="35">
        <f t="shared" si="296"/>
        <v>5600</v>
      </c>
      <c r="FA204" s="35"/>
      <c r="FB204" s="35"/>
      <c r="FC204" s="35"/>
      <c r="FD204" s="35"/>
      <c r="FE204" s="35"/>
      <c r="FF204" s="35"/>
      <c r="FG204" s="35">
        <v>5600</v>
      </c>
      <c r="FH204" s="35"/>
      <c r="FI204" s="35"/>
      <c r="FJ204" s="35"/>
      <c r="FK204" s="35"/>
      <c r="FL204" s="35"/>
      <c r="FM204" s="35">
        <f t="shared" si="267"/>
        <v>5600</v>
      </c>
      <c r="FN204" s="35">
        <f t="shared" si="297"/>
        <v>16800</v>
      </c>
      <c r="FO204" s="35">
        <f t="shared" si="269"/>
        <v>67200</v>
      </c>
    </row>
    <row r="205" spans="1:171" x14ac:dyDescent="0.35">
      <c r="A205" s="34"/>
      <c r="B205" s="40"/>
      <c r="C205" s="58"/>
      <c r="D205" s="80" t="s">
        <v>190</v>
      </c>
      <c r="E205" s="58" t="s">
        <v>8</v>
      </c>
      <c r="F205" s="58" t="s">
        <v>18</v>
      </c>
      <c r="G205" s="81" t="s">
        <v>250</v>
      </c>
      <c r="H205" s="61"/>
      <c r="I205" s="61">
        <f>30348.39+5600+5600+5600</f>
        <v>47148.39</v>
      </c>
      <c r="J205" s="61">
        <f t="shared" ref="J205:J222" si="298">+H205+I205</f>
        <v>47148.39</v>
      </c>
      <c r="K205" s="35"/>
      <c r="L205" s="35"/>
      <c r="M205" s="35"/>
      <c r="N205" s="35"/>
      <c r="O205" s="35"/>
      <c r="P205" s="35"/>
      <c r="Q205" s="35">
        <v>5600</v>
      </c>
      <c r="R205" s="35"/>
      <c r="S205" s="35"/>
      <c r="T205" s="35"/>
      <c r="U205" s="35"/>
      <c r="V205" s="35"/>
      <c r="W205" s="35">
        <f t="shared" si="287"/>
        <v>5600</v>
      </c>
      <c r="X205" s="35"/>
      <c r="Y205" s="35"/>
      <c r="Z205" s="35"/>
      <c r="AA205" s="35"/>
      <c r="AB205" s="35"/>
      <c r="AC205" s="35"/>
      <c r="AD205" s="35">
        <v>5600</v>
      </c>
      <c r="AE205" s="35"/>
      <c r="AF205" s="35"/>
      <c r="AG205" s="35"/>
      <c r="AH205" s="35"/>
      <c r="AI205" s="35"/>
      <c r="AJ205" s="35">
        <f t="shared" si="288"/>
        <v>5600</v>
      </c>
      <c r="AK205" s="35"/>
      <c r="AL205" s="35"/>
      <c r="AM205" s="35"/>
      <c r="AN205" s="35"/>
      <c r="AO205" s="35"/>
      <c r="AP205" s="35"/>
      <c r="AQ205" s="35">
        <v>5600</v>
      </c>
      <c r="AR205" s="35"/>
      <c r="AS205" s="35"/>
      <c r="AT205" s="35"/>
      <c r="AU205" s="35"/>
      <c r="AV205" s="35"/>
      <c r="AW205" s="35">
        <f t="shared" si="289"/>
        <v>5600</v>
      </c>
      <c r="AX205" s="35">
        <f t="shared" si="256"/>
        <v>16800</v>
      </c>
      <c r="AY205" s="35"/>
      <c r="AZ205" s="35"/>
      <c r="BA205" s="35"/>
      <c r="BB205" s="35"/>
      <c r="BC205" s="35"/>
      <c r="BD205" s="35"/>
      <c r="BE205" s="35">
        <v>5600</v>
      </c>
      <c r="BF205" s="35"/>
      <c r="BG205" s="35"/>
      <c r="BH205" s="35"/>
      <c r="BI205" s="35"/>
      <c r="BJ205" s="35"/>
      <c r="BK205" s="35">
        <f t="shared" si="290"/>
        <v>5600</v>
      </c>
      <c r="BL205" s="35"/>
      <c r="BM205" s="35"/>
      <c r="BN205" s="35"/>
      <c r="BO205" s="35"/>
      <c r="BP205" s="35"/>
      <c r="BQ205" s="35"/>
      <c r="BR205" s="35">
        <v>5600</v>
      </c>
      <c r="BS205" s="35"/>
      <c r="BT205" s="35"/>
      <c r="BU205" s="35"/>
      <c r="BV205" s="35"/>
      <c r="BW205" s="35"/>
      <c r="BX205" s="35">
        <f t="shared" si="291"/>
        <v>5600</v>
      </c>
      <c r="BY205" s="35"/>
      <c r="BZ205" s="35"/>
      <c r="CA205" s="35"/>
      <c r="CB205" s="35"/>
      <c r="CC205" s="35"/>
      <c r="CD205" s="35"/>
      <c r="CE205" s="35">
        <f>47148.39+5600+16800+16800</f>
        <v>86348.39</v>
      </c>
      <c r="CF205" s="35"/>
      <c r="CG205" s="35"/>
      <c r="CH205" s="35"/>
      <c r="CI205" s="35"/>
      <c r="CJ205" s="35"/>
      <c r="CK205" s="35">
        <f t="shared" si="292"/>
        <v>86348.39</v>
      </c>
      <c r="CL205" s="35">
        <f t="shared" si="293"/>
        <v>97548.39</v>
      </c>
      <c r="CM205" s="35"/>
      <c r="CN205" s="35"/>
      <c r="CO205" s="35"/>
      <c r="CP205" s="35"/>
      <c r="CQ205" s="35"/>
      <c r="CR205" s="35"/>
      <c r="CS205" s="35">
        <v>5600</v>
      </c>
      <c r="CT205" s="35"/>
      <c r="CU205" s="35"/>
      <c r="CV205" s="35"/>
      <c r="CW205" s="35"/>
      <c r="CX205" s="35"/>
      <c r="CY205" s="35">
        <f t="shared" si="261"/>
        <v>5600</v>
      </c>
      <c r="CZ205" s="35"/>
      <c r="DA205" s="35"/>
      <c r="DB205" s="35"/>
      <c r="DC205" s="35"/>
      <c r="DD205" s="35"/>
      <c r="DE205" s="35"/>
      <c r="DF205" s="35">
        <v>5600</v>
      </c>
      <c r="DG205" s="35"/>
      <c r="DH205" s="35"/>
      <c r="DI205" s="35"/>
      <c r="DJ205" s="35"/>
      <c r="DK205" s="35"/>
      <c r="DL205" s="35">
        <f t="shared" si="294"/>
        <v>5600</v>
      </c>
      <c r="DM205" s="35"/>
      <c r="DN205" s="35"/>
      <c r="DO205" s="35"/>
      <c r="DP205" s="35"/>
      <c r="DQ205" s="35"/>
      <c r="DR205" s="35"/>
      <c r="DS205" s="35">
        <v>5600</v>
      </c>
      <c r="DT205" s="35"/>
      <c r="DU205" s="35"/>
      <c r="DV205" s="35"/>
      <c r="DW205" s="35"/>
      <c r="DX205" s="35"/>
      <c r="DY205" s="35">
        <f t="shared" si="263"/>
        <v>5600</v>
      </c>
      <c r="DZ205" s="35">
        <f t="shared" si="295"/>
        <v>16800</v>
      </c>
      <c r="EA205" s="35"/>
      <c r="EB205" s="35"/>
      <c r="EC205" s="35"/>
      <c r="ED205" s="35"/>
      <c r="EE205" s="35"/>
      <c r="EF205" s="35"/>
      <c r="EG205" s="35">
        <v>5600</v>
      </c>
      <c r="EH205" s="35"/>
      <c r="EI205" s="35"/>
      <c r="EJ205" s="35"/>
      <c r="EK205" s="35"/>
      <c r="EL205" s="35"/>
      <c r="EM205" s="35">
        <f t="shared" si="265"/>
        <v>5600</v>
      </c>
      <c r="EN205" s="35"/>
      <c r="EO205" s="35"/>
      <c r="EP205" s="35"/>
      <c r="EQ205" s="35"/>
      <c r="ER205" s="35"/>
      <c r="ES205" s="35"/>
      <c r="ET205" s="35">
        <v>5600</v>
      </c>
      <c r="EU205" s="35"/>
      <c r="EV205" s="35"/>
      <c r="EW205" s="35"/>
      <c r="EX205" s="35"/>
      <c r="EY205" s="35"/>
      <c r="EZ205" s="35">
        <f t="shared" si="296"/>
        <v>5600</v>
      </c>
      <c r="FA205" s="35"/>
      <c r="FB205" s="35"/>
      <c r="FC205" s="35"/>
      <c r="FD205" s="35"/>
      <c r="FE205" s="35"/>
      <c r="FF205" s="35"/>
      <c r="FG205" s="35">
        <v>5600</v>
      </c>
      <c r="FH205" s="35"/>
      <c r="FI205" s="35"/>
      <c r="FJ205" s="35"/>
      <c r="FK205" s="35"/>
      <c r="FL205" s="35"/>
      <c r="FM205" s="35">
        <f t="shared" si="267"/>
        <v>5600</v>
      </c>
      <c r="FN205" s="35">
        <f t="shared" si="297"/>
        <v>16800</v>
      </c>
      <c r="FO205" s="35">
        <f t="shared" si="269"/>
        <v>147948.39000000001</v>
      </c>
    </row>
    <row r="206" spans="1:171" x14ac:dyDescent="0.35">
      <c r="A206" s="34"/>
      <c r="B206" s="40"/>
      <c r="C206" s="58"/>
      <c r="D206" s="41" t="s">
        <v>191</v>
      </c>
      <c r="E206" s="58"/>
      <c r="F206" s="58"/>
      <c r="G206" s="58"/>
      <c r="H206" s="58"/>
      <c r="I206" s="58"/>
      <c r="J206" s="61">
        <f t="shared" si="298"/>
        <v>0</v>
      </c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>
        <f t="shared" si="287"/>
        <v>0</v>
      </c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>
        <f t="shared" si="288"/>
        <v>0</v>
      </c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>
        <f t="shared" si="289"/>
        <v>0</v>
      </c>
      <c r="AX206" s="35">
        <f t="shared" si="256"/>
        <v>0</v>
      </c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>
        <f t="shared" si="290"/>
        <v>0</v>
      </c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>
        <f t="shared" si="291"/>
        <v>0</v>
      </c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>
        <f t="shared" si="292"/>
        <v>0</v>
      </c>
      <c r="CL206" s="35">
        <f t="shared" si="293"/>
        <v>0</v>
      </c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>
        <f t="shared" si="261"/>
        <v>0</v>
      </c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>
        <f t="shared" si="294"/>
        <v>0</v>
      </c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>
        <f t="shared" si="263"/>
        <v>0</v>
      </c>
      <c r="DZ206" s="35">
        <f t="shared" si="295"/>
        <v>0</v>
      </c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>
        <f t="shared" si="265"/>
        <v>0</v>
      </c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>
        <f t="shared" si="296"/>
        <v>0</v>
      </c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>
        <f t="shared" si="267"/>
        <v>0</v>
      </c>
      <c r="FN206" s="35">
        <f t="shared" si="297"/>
        <v>0</v>
      </c>
      <c r="FO206" s="35">
        <f t="shared" si="269"/>
        <v>0</v>
      </c>
    </row>
    <row r="207" spans="1:171" x14ac:dyDescent="0.35">
      <c r="A207" s="34"/>
      <c r="B207" s="40"/>
      <c r="C207" s="58"/>
      <c r="D207" s="41" t="s">
        <v>192</v>
      </c>
      <c r="E207" s="58"/>
      <c r="F207" s="58"/>
      <c r="G207" s="58"/>
      <c r="H207" s="58"/>
      <c r="I207" s="58"/>
      <c r="J207" s="61">
        <f t="shared" si="298"/>
        <v>0</v>
      </c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>
        <f t="shared" si="287"/>
        <v>0</v>
      </c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>
        <f t="shared" si="288"/>
        <v>0</v>
      </c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>
        <f t="shared" si="289"/>
        <v>0</v>
      </c>
      <c r="AX207" s="35">
        <f t="shared" si="256"/>
        <v>0</v>
      </c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>
        <f t="shared" si="290"/>
        <v>0</v>
      </c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>
        <f t="shared" si="291"/>
        <v>0</v>
      </c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>
        <f t="shared" si="292"/>
        <v>0</v>
      </c>
      <c r="CL207" s="35">
        <f t="shared" si="293"/>
        <v>0</v>
      </c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>
        <f t="shared" si="261"/>
        <v>0</v>
      </c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>
        <f t="shared" si="294"/>
        <v>0</v>
      </c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>
        <f t="shared" si="263"/>
        <v>0</v>
      </c>
      <c r="DZ207" s="35">
        <f t="shared" si="295"/>
        <v>0</v>
      </c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>
        <f t="shared" si="265"/>
        <v>0</v>
      </c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>
        <f t="shared" si="296"/>
        <v>0</v>
      </c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>
        <f t="shared" si="267"/>
        <v>0</v>
      </c>
      <c r="FN207" s="35">
        <f t="shared" si="297"/>
        <v>0</v>
      </c>
      <c r="FO207" s="35">
        <f t="shared" si="269"/>
        <v>0</v>
      </c>
    </row>
    <row r="208" spans="1:171" x14ac:dyDescent="0.35">
      <c r="A208" s="34"/>
      <c r="B208" s="40"/>
      <c r="C208" s="58"/>
      <c r="D208" s="80" t="s">
        <v>232</v>
      </c>
      <c r="E208" s="58" t="s">
        <v>8</v>
      </c>
      <c r="F208" s="58" t="s">
        <v>18</v>
      </c>
      <c r="G208" s="58"/>
      <c r="H208" s="58"/>
      <c r="I208" s="58"/>
      <c r="J208" s="61">
        <f t="shared" si="298"/>
        <v>0</v>
      </c>
      <c r="K208" s="35"/>
      <c r="L208" s="35"/>
      <c r="M208" s="35"/>
      <c r="N208" s="35"/>
      <c r="O208" s="35"/>
      <c r="P208" s="35"/>
      <c r="Q208" s="35">
        <v>5600</v>
      </c>
      <c r="R208" s="35"/>
      <c r="S208" s="35"/>
      <c r="T208" s="35"/>
      <c r="U208" s="35"/>
      <c r="V208" s="35"/>
      <c r="W208" s="35">
        <f t="shared" si="287"/>
        <v>5600</v>
      </c>
      <c r="X208" s="35"/>
      <c r="Y208" s="35"/>
      <c r="Z208" s="35"/>
      <c r="AA208" s="35"/>
      <c r="AB208" s="35"/>
      <c r="AC208" s="35"/>
      <c r="AD208" s="35">
        <v>5600</v>
      </c>
      <c r="AE208" s="35"/>
      <c r="AF208" s="35"/>
      <c r="AG208" s="35"/>
      <c r="AH208" s="35"/>
      <c r="AI208" s="35"/>
      <c r="AJ208" s="35">
        <f t="shared" si="288"/>
        <v>5600</v>
      </c>
      <c r="AK208" s="35"/>
      <c r="AL208" s="35"/>
      <c r="AM208" s="35"/>
      <c r="AN208" s="35"/>
      <c r="AO208" s="35"/>
      <c r="AP208" s="35"/>
      <c r="AQ208" s="35">
        <v>5600</v>
      </c>
      <c r="AR208" s="35"/>
      <c r="AS208" s="35"/>
      <c r="AT208" s="35"/>
      <c r="AU208" s="35"/>
      <c r="AV208" s="35"/>
      <c r="AW208" s="35">
        <f t="shared" si="289"/>
        <v>5600</v>
      </c>
      <c r="AX208" s="35">
        <f t="shared" si="256"/>
        <v>16800</v>
      </c>
      <c r="AY208" s="35"/>
      <c r="AZ208" s="35"/>
      <c r="BA208" s="35"/>
      <c r="BB208" s="35"/>
      <c r="BC208" s="35"/>
      <c r="BD208" s="35"/>
      <c r="BE208" s="35">
        <v>5600</v>
      </c>
      <c r="BF208" s="35"/>
      <c r="BG208" s="35"/>
      <c r="BH208" s="35"/>
      <c r="BI208" s="35"/>
      <c r="BJ208" s="35"/>
      <c r="BK208" s="35">
        <f t="shared" si="290"/>
        <v>5600</v>
      </c>
      <c r="BL208" s="35"/>
      <c r="BM208" s="35"/>
      <c r="BN208" s="35"/>
      <c r="BO208" s="35"/>
      <c r="BP208" s="35"/>
      <c r="BQ208" s="35"/>
      <c r="BR208" s="35">
        <v>5600</v>
      </c>
      <c r="BS208" s="35"/>
      <c r="BT208" s="35"/>
      <c r="BU208" s="35"/>
      <c r="BV208" s="35"/>
      <c r="BW208" s="35"/>
      <c r="BX208" s="35">
        <f t="shared" si="291"/>
        <v>5600</v>
      </c>
      <c r="BY208" s="35"/>
      <c r="BZ208" s="35"/>
      <c r="CA208" s="35"/>
      <c r="CB208" s="35"/>
      <c r="CC208" s="35"/>
      <c r="CD208" s="35"/>
      <c r="CE208" s="35">
        <v>5600</v>
      </c>
      <c r="CF208" s="35"/>
      <c r="CG208" s="35"/>
      <c r="CH208" s="35"/>
      <c r="CI208" s="35"/>
      <c r="CJ208" s="35"/>
      <c r="CK208" s="35">
        <f t="shared" si="292"/>
        <v>5600</v>
      </c>
      <c r="CL208" s="35">
        <f t="shared" si="293"/>
        <v>16800</v>
      </c>
      <c r="CM208" s="35"/>
      <c r="CN208" s="35"/>
      <c r="CO208" s="35"/>
      <c r="CP208" s="35"/>
      <c r="CQ208" s="35"/>
      <c r="CR208" s="35"/>
      <c r="CS208" s="35">
        <v>5600</v>
      </c>
      <c r="CT208" s="35"/>
      <c r="CU208" s="35"/>
      <c r="CV208" s="35"/>
      <c r="CW208" s="35"/>
      <c r="CX208" s="35"/>
      <c r="CY208" s="35">
        <f t="shared" si="261"/>
        <v>5600</v>
      </c>
      <c r="CZ208" s="35"/>
      <c r="DA208" s="35"/>
      <c r="DB208" s="35"/>
      <c r="DC208" s="35"/>
      <c r="DD208" s="35"/>
      <c r="DE208" s="35"/>
      <c r="DF208" s="35">
        <v>5600</v>
      </c>
      <c r="DG208" s="35"/>
      <c r="DH208" s="35"/>
      <c r="DI208" s="35"/>
      <c r="DJ208" s="35"/>
      <c r="DK208" s="35"/>
      <c r="DL208" s="35">
        <f t="shared" si="294"/>
        <v>5600</v>
      </c>
      <c r="DM208" s="35"/>
      <c r="DN208" s="35"/>
      <c r="DO208" s="35"/>
      <c r="DP208" s="35"/>
      <c r="DQ208" s="35"/>
      <c r="DR208" s="35"/>
      <c r="DS208" s="35">
        <v>5600</v>
      </c>
      <c r="DT208" s="35"/>
      <c r="DU208" s="35"/>
      <c r="DV208" s="35"/>
      <c r="DW208" s="35"/>
      <c r="DX208" s="35"/>
      <c r="DY208" s="35">
        <f t="shared" si="263"/>
        <v>5600</v>
      </c>
      <c r="DZ208" s="35">
        <f t="shared" si="295"/>
        <v>16800</v>
      </c>
      <c r="EA208" s="35"/>
      <c r="EB208" s="35"/>
      <c r="EC208" s="35"/>
      <c r="ED208" s="35"/>
      <c r="EE208" s="35"/>
      <c r="EF208" s="35"/>
      <c r="EG208" s="35">
        <v>5600</v>
      </c>
      <c r="EH208" s="35"/>
      <c r="EI208" s="35"/>
      <c r="EJ208" s="35"/>
      <c r="EK208" s="35"/>
      <c r="EL208" s="35"/>
      <c r="EM208" s="35">
        <f t="shared" si="265"/>
        <v>5600</v>
      </c>
      <c r="EN208" s="35"/>
      <c r="EO208" s="35"/>
      <c r="EP208" s="35"/>
      <c r="EQ208" s="35"/>
      <c r="ER208" s="35"/>
      <c r="ES208" s="35"/>
      <c r="ET208" s="35">
        <v>5600</v>
      </c>
      <c r="EU208" s="35"/>
      <c r="EV208" s="35"/>
      <c r="EW208" s="35"/>
      <c r="EX208" s="35"/>
      <c r="EY208" s="35"/>
      <c r="EZ208" s="35">
        <f t="shared" si="296"/>
        <v>5600</v>
      </c>
      <c r="FA208" s="35"/>
      <c r="FB208" s="35"/>
      <c r="FC208" s="35"/>
      <c r="FD208" s="35"/>
      <c r="FE208" s="35"/>
      <c r="FF208" s="35"/>
      <c r="FG208" s="35">
        <v>5600</v>
      </c>
      <c r="FH208" s="35"/>
      <c r="FI208" s="35"/>
      <c r="FJ208" s="35"/>
      <c r="FK208" s="35"/>
      <c r="FL208" s="35"/>
      <c r="FM208" s="35">
        <f t="shared" si="267"/>
        <v>5600</v>
      </c>
      <c r="FN208" s="35">
        <f t="shared" si="297"/>
        <v>16800</v>
      </c>
      <c r="FO208" s="35">
        <f t="shared" si="269"/>
        <v>67200</v>
      </c>
    </row>
    <row r="209" spans="1:171" x14ac:dyDescent="0.35">
      <c r="A209" s="34"/>
      <c r="B209" s="40"/>
      <c r="C209" s="58"/>
      <c r="D209" s="80" t="s">
        <v>193</v>
      </c>
      <c r="E209" s="58" t="s">
        <v>8</v>
      </c>
      <c r="F209" s="58" t="s">
        <v>18</v>
      </c>
      <c r="G209" s="58"/>
      <c r="H209" s="58"/>
      <c r="I209" s="58"/>
      <c r="J209" s="61">
        <f t="shared" si="298"/>
        <v>0</v>
      </c>
      <c r="K209" s="35"/>
      <c r="L209" s="35"/>
      <c r="M209" s="35"/>
      <c r="N209" s="35"/>
      <c r="O209" s="35"/>
      <c r="P209" s="35"/>
      <c r="Q209" s="35">
        <v>5600</v>
      </c>
      <c r="R209" s="35"/>
      <c r="S209" s="35"/>
      <c r="T209" s="35"/>
      <c r="U209" s="35"/>
      <c r="V209" s="35"/>
      <c r="W209" s="35">
        <f t="shared" si="287"/>
        <v>5600</v>
      </c>
      <c r="X209" s="35"/>
      <c r="Y209" s="35"/>
      <c r="Z209" s="35"/>
      <c r="AA209" s="35"/>
      <c r="AB209" s="35"/>
      <c r="AC209" s="35"/>
      <c r="AD209" s="35">
        <v>5600</v>
      </c>
      <c r="AE209" s="35"/>
      <c r="AF209" s="35"/>
      <c r="AG209" s="35"/>
      <c r="AH209" s="35"/>
      <c r="AI209" s="35"/>
      <c r="AJ209" s="35">
        <f t="shared" si="288"/>
        <v>5600</v>
      </c>
      <c r="AK209" s="35"/>
      <c r="AL209" s="35"/>
      <c r="AM209" s="35"/>
      <c r="AN209" s="35"/>
      <c r="AO209" s="35"/>
      <c r="AP209" s="35"/>
      <c r="AQ209" s="35">
        <v>5600</v>
      </c>
      <c r="AR209" s="35"/>
      <c r="AS209" s="35"/>
      <c r="AT209" s="35"/>
      <c r="AU209" s="35"/>
      <c r="AV209" s="35"/>
      <c r="AW209" s="35">
        <f t="shared" si="289"/>
        <v>5600</v>
      </c>
      <c r="AX209" s="35">
        <f t="shared" si="256"/>
        <v>16800</v>
      </c>
      <c r="AY209" s="35"/>
      <c r="AZ209" s="35"/>
      <c r="BA209" s="35"/>
      <c r="BB209" s="35"/>
      <c r="BC209" s="35"/>
      <c r="BD209" s="35"/>
      <c r="BE209" s="35">
        <v>5600</v>
      </c>
      <c r="BF209" s="35"/>
      <c r="BG209" s="35"/>
      <c r="BH209" s="35"/>
      <c r="BI209" s="35"/>
      <c r="BJ209" s="35"/>
      <c r="BK209" s="35">
        <f t="shared" si="290"/>
        <v>5600</v>
      </c>
      <c r="BL209" s="35"/>
      <c r="BM209" s="35"/>
      <c r="BN209" s="35"/>
      <c r="BO209" s="35"/>
      <c r="BP209" s="35"/>
      <c r="BQ209" s="35"/>
      <c r="BR209" s="35">
        <v>5600</v>
      </c>
      <c r="BS209" s="35"/>
      <c r="BT209" s="35"/>
      <c r="BU209" s="35"/>
      <c r="BV209" s="35"/>
      <c r="BW209" s="35"/>
      <c r="BX209" s="35">
        <f t="shared" si="291"/>
        <v>5600</v>
      </c>
      <c r="BY209" s="35"/>
      <c r="BZ209" s="35"/>
      <c r="CA209" s="35"/>
      <c r="CB209" s="35"/>
      <c r="CC209" s="35"/>
      <c r="CD209" s="35"/>
      <c r="CE209" s="35">
        <v>5600</v>
      </c>
      <c r="CF209" s="35"/>
      <c r="CG209" s="35"/>
      <c r="CH209" s="35"/>
      <c r="CI209" s="35"/>
      <c r="CJ209" s="35"/>
      <c r="CK209" s="35">
        <f t="shared" si="292"/>
        <v>5600</v>
      </c>
      <c r="CL209" s="35">
        <f t="shared" si="293"/>
        <v>16800</v>
      </c>
      <c r="CM209" s="35"/>
      <c r="CN209" s="35"/>
      <c r="CO209" s="35"/>
      <c r="CP209" s="35"/>
      <c r="CQ209" s="35"/>
      <c r="CR209" s="35"/>
      <c r="CS209" s="35">
        <v>5600</v>
      </c>
      <c r="CT209" s="35"/>
      <c r="CU209" s="35"/>
      <c r="CV209" s="35"/>
      <c r="CW209" s="35"/>
      <c r="CX209" s="35"/>
      <c r="CY209" s="35">
        <f t="shared" si="261"/>
        <v>5600</v>
      </c>
      <c r="CZ209" s="35"/>
      <c r="DA209" s="35"/>
      <c r="DB209" s="35"/>
      <c r="DC209" s="35"/>
      <c r="DD209" s="35"/>
      <c r="DE209" s="35"/>
      <c r="DF209" s="35">
        <v>5600</v>
      </c>
      <c r="DG209" s="35"/>
      <c r="DH209" s="35"/>
      <c r="DI209" s="35"/>
      <c r="DJ209" s="35"/>
      <c r="DK209" s="35"/>
      <c r="DL209" s="35">
        <f t="shared" si="294"/>
        <v>5600</v>
      </c>
      <c r="DM209" s="35"/>
      <c r="DN209" s="35"/>
      <c r="DO209" s="35"/>
      <c r="DP209" s="35"/>
      <c r="DQ209" s="35"/>
      <c r="DR209" s="35"/>
      <c r="DS209" s="35">
        <v>5600</v>
      </c>
      <c r="DT209" s="35"/>
      <c r="DU209" s="35"/>
      <c r="DV209" s="35"/>
      <c r="DW209" s="35"/>
      <c r="DX209" s="35"/>
      <c r="DY209" s="35">
        <f t="shared" si="263"/>
        <v>5600</v>
      </c>
      <c r="DZ209" s="35">
        <f t="shared" si="295"/>
        <v>16800</v>
      </c>
      <c r="EA209" s="35"/>
      <c r="EB209" s="35"/>
      <c r="EC209" s="35"/>
      <c r="ED209" s="35"/>
      <c r="EE209" s="35"/>
      <c r="EF209" s="35"/>
      <c r="EG209" s="35">
        <v>5600</v>
      </c>
      <c r="EH209" s="35"/>
      <c r="EI209" s="35"/>
      <c r="EJ209" s="35"/>
      <c r="EK209" s="35"/>
      <c r="EL209" s="35"/>
      <c r="EM209" s="35">
        <f t="shared" si="265"/>
        <v>5600</v>
      </c>
      <c r="EN209" s="35"/>
      <c r="EO209" s="35"/>
      <c r="EP209" s="35"/>
      <c r="EQ209" s="35"/>
      <c r="ER209" s="35"/>
      <c r="ES209" s="35"/>
      <c r="ET209" s="35">
        <v>5600</v>
      </c>
      <c r="EU209" s="35"/>
      <c r="EV209" s="35"/>
      <c r="EW209" s="35"/>
      <c r="EX209" s="35"/>
      <c r="EY209" s="35"/>
      <c r="EZ209" s="35">
        <f t="shared" si="296"/>
        <v>5600</v>
      </c>
      <c r="FA209" s="35"/>
      <c r="FB209" s="35"/>
      <c r="FC209" s="35"/>
      <c r="FD209" s="35"/>
      <c r="FE209" s="35"/>
      <c r="FF209" s="35"/>
      <c r="FG209" s="35">
        <v>5600</v>
      </c>
      <c r="FH209" s="35"/>
      <c r="FI209" s="35"/>
      <c r="FJ209" s="35"/>
      <c r="FK209" s="35"/>
      <c r="FL209" s="35"/>
      <c r="FM209" s="35">
        <f t="shared" si="267"/>
        <v>5600</v>
      </c>
      <c r="FN209" s="35">
        <f t="shared" si="297"/>
        <v>16800</v>
      </c>
      <c r="FO209" s="35">
        <f t="shared" si="269"/>
        <v>67200</v>
      </c>
    </row>
    <row r="210" spans="1:171" x14ac:dyDescent="0.35">
      <c r="A210" s="34"/>
      <c r="B210" s="40"/>
      <c r="C210" s="58"/>
      <c r="D210" s="80" t="s">
        <v>194</v>
      </c>
      <c r="E210" s="58" t="s">
        <v>8</v>
      </c>
      <c r="F210" s="58" t="s">
        <v>18</v>
      </c>
      <c r="G210" s="58"/>
      <c r="H210" s="58"/>
      <c r="I210" s="58"/>
      <c r="J210" s="61">
        <f t="shared" si="298"/>
        <v>0</v>
      </c>
      <c r="K210" s="35"/>
      <c r="L210" s="35"/>
      <c r="M210" s="35"/>
      <c r="N210" s="35"/>
      <c r="O210" s="35"/>
      <c r="P210" s="35"/>
      <c r="Q210" s="35">
        <v>5600</v>
      </c>
      <c r="R210" s="35"/>
      <c r="S210" s="35"/>
      <c r="T210" s="35"/>
      <c r="U210" s="35"/>
      <c r="V210" s="35"/>
      <c r="W210" s="35">
        <f t="shared" si="287"/>
        <v>5600</v>
      </c>
      <c r="X210" s="35"/>
      <c r="Y210" s="35"/>
      <c r="Z210" s="35"/>
      <c r="AA210" s="35"/>
      <c r="AB210" s="35"/>
      <c r="AC210" s="35"/>
      <c r="AD210" s="35">
        <v>5600</v>
      </c>
      <c r="AE210" s="35"/>
      <c r="AF210" s="35"/>
      <c r="AG210" s="35"/>
      <c r="AH210" s="35"/>
      <c r="AI210" s="35"/>
      <c r="AJ210" s="35">
        <f t="shared" si="288"/>
        <v>5600</v>
      </c>
      <c r="AK210" s="35"/>
      <c r="AL210" s="35"/>
      <c r="AM210" s="35"/>
      <c r="AN210" s="35"/>
      <c r="AO210" s="35"/>
      <c r="AP210" s="35"/>
      <c r="AQ210" s="35">
        <v>5600</v>
      </c>
      <c r="AR210" s="35"/>
      <c r="AS210" s="35"/>
      <c r="AT210" s="35"/>
      <c r="AU210" s="35"/>
      <c r="AV210" s="35"/>
      <c r="AW210" s="35">
        <f t="shared" si="289"/>
        <v>5600</v>
      </c>
      <c r="AX210" s="35">
        <f t="shared" si="256"/>
        <v>16800</v>
      </c>
      <c r="AY210" s="35"/>
      <c r="AZ210" s="35"/>
      <c r="BA210" s="35"/>
      <c r="BB210" s="35"/>
      <c r="BC210" s="35"/>
      <c r="BD210" s="35"/>
      <c r="BE210" s="35">
        <v>5600</v>
      </c>
      <c r="BF210" s="35"/>
      <c r="BG210" s="35"/>
      <c r="BH210" s="35"/>
      <c r="BI210" s="35"/>
      <c r="BJ210" s="35"/>
      <c r="BK210" s="35">
        <f t="shared" si="290"/>
        <v>5600</v>
      </c>
      <c r="BL210" s="35"/>
      <c r="BM210" s="35"/>
      <c r="BN210" s="35"/>
      <c r="BO210" s="35"/>
      <c r="BP210" s="35"/>
      <c r="BQ210" s="35"/>
      <c r="BR210" s="35">
        <v>5600</v>
      </c>
      <c r="BS210" s="35"/>
      <c r="BT210" s="35"/>
      <c r="BU210" s="35"/>
      <c r="BV210" s="35"/>
      <c r="BW210" s="35"/>
      <c r="BX210" s="35">
        <f t="shared" si="291"/>
        <v>5600</v>
      </c>
      <c r="BY210" s="35"/>
      <c r="BZ210" s="35"/>
      <c r="CA210" s="35"/>
      <c r="CB210" s="35"/>
      <c r="CC210" s="35"/>
      <c r="CD210" s="35"/>
      <c r="CE210" s="35">
        <v>5600</v>
      </c>
      <c r="CF210" s="35"/>
      <c r="CG210" s="35"/>
      <c r="CH210" s="35"/>
      <c r="CI210" s="35"/>
      <c r="CJ210" s="35"/>
      <c r="CK210" s="35">
        <f t="shared" si="292"/>
        <v>5600</v>
      </c>
      <c r="CL210" s="35">
        <f t="shared" si="293"/>
        <v>16800</v>
      </c>
      <c r="CM210" s="35"/>
      <c r="CN210" s="35"/>
      <c r="CO210" s="35"/>
      <c r="CP210" s="35"/>
      <c r="CQ210" s="35"/>
      <c r="CR210" s="35"/>
      <c r="CS210" s="35">
        <v>5600</v>
      </c>
      <c r="CT210" s="35"/>
      <c r="CU210" s="35"/>
      <c r="CV210" s="35"/>
      <c r="CW210" s="35"/>
      <c r="CX210" s="35"/>
      <c r="CY210" s="35">
        <f t="shared" si="261"/>
        <v>5600</v>
      </c>
      <c r="CZ210" s="35"/>
      <c r="DA210" s="35"/>
      <c r="DB210" s="35"/>
      <c r="DC210" s="35"/>
      <c r="DD210" s="35"/>
      <c r="DE210" s="35"/>
      <c r="DF210" s="35">
        <v>5600</v>
      </c>
      <c r="DG210" s="35"/>
      <c r="DH210" s="35"/>
      <c r="DI210" s="35"/>
      <c r="DJ210" s="35"/>
      <c r="DK210" s="35"/>
      <c r="DL210" s="35">
        <f t="shared" si="294"/>
        <v>5600</v>
      </c>
      <c r="DM210" s="35"/>
      <c r="DN210" s="35"/>
      <c r="DO210" s="35"/>
      <c r="DP210" s="35"/>
      <c r="DQ210" s="35"/>
      <c r="DR210" s="35"/>
      <c r="DS210" s="35">
        <v>5600</v>
      </c>
      <c r="DT210" s="35"/>
      <c r="DU210" s="35"/>
      <c r="DV210" s="35"/>
      <c r="DW210" s="35"/>
      <c r="DX210" s="35"/>
      <c r="DY210" s="35">
        <f t="shared" si="263"/>
        <v>5600</v>
      </c>
      <c r="DZ210" s="35">
        <f t="shared" si="295"/>
        <v>16800</v>
      </c>
      <c r="EA210" s="35"/>
      <c r="EB210" s="35"/>
      <c r="EC210" s="35"/>
      <c r="ED210" s="35"/>
      <c r="EE210" s="35"/>
      <c r="EF210" s="35"/>
      <c r="EG210" s="35">
        <v>5600</v>
      </c>
      <c r="EH210" s="35"/>
      <c r="EI210" s="35"/>
      <c r="EJ210" s="35"/>
      <c r="EK210" s="35"/>
      <c r="EL210" s="35"/>
      <c r="EM210" s="35">
        <f t="shared" si="265"/>
        <v>5600</v>
      </c>
      <c r="EN210" s="35"/>
      <c r="EO210" s="35"/>
      <c r="EP210" s="35"/>
      <c r="EQ210" s="35"/>
      <c r="ER210" s="35"/>
      <c r="ES210" s="35"/>
      <c r="ET210" s="35">
        <v>5600</v>
      </c>
      <c r="EU210" s="35"/>
      <c r="EV210" s="35"/>
      <c r="EW210" s="35"/>
      <c r="EX210" s="35"/>
      <c r="EY210" s="35"/>
      <c r="EZ210" s="35">
        <f t="shared" si="296"/>
        <v>5600</v>
      </c>
      <c r="FA210" s="35"/>
      <c r="FB210" s="35"/>
      <c r="FC210" s="35"/>
      <c r="FD210" s="35"/>
      <c r="FE210" s="35"/>
      <c r="FF210" s="35"/>
      <c r="FG210" s="35">
        <v>5600</v>
      </c>
      <c r="FH210" s="35"/>
      <c r="FI210" s="35"/>
      <c r="FJ210" s="35"/>
      <c r="FK210" s="35"/>
      <c r="FL210" s="35"/>
      <c r="FM210" s="35">
        <f t="shared" si="267"/>
        <v>5600</v>
      </c>
      <c r="FN210" s="35">
        <f t="shared" si="297"/>
        <v>16800</v>
      </c>
      <c r="FO210" s="35">
        <f t="shared" si="269"/>
        <v>67200</v>
      </c>
    </row>
    <row r="211" spans="1:171" x14ac:dyDescent="0.35">
      <c r="A211" s="34"/>
      <c r="B211" s="40"/>
      <c r="C211" s="58"/>
      <c r="D211" s="41" t="s">
        <v>195</v>
      </c>
      <c r="E211" s="58"/>
      <c r="F211" s="58"/>
      <c r="G211" s="58"/>
      <c r="H211" s="58"/>
      <c r="I211" s="58"/>
      <c r="J211" s="61">
        <f t="shared" si="298"/>
        <v>0</v>
      </c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>
        <f t="shared" si="287"/>
        <v>0</v>
      </c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>
        <f t="shared" si="288"/>
        <v>0</v>
      </c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>
        <f t="shared" si="289"/>
        <v>0</v>
      </c>
      <c r="AX211" s="35">
        <f t="shared" si="256"/>
        <v>0</v>
      </c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>
        <f t="shared" si="290"/>
        <v>0</v>
      </c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>
        <f t="shared" si="291"/>
        <v>0</v>
      </c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>
        <f t="shared" si="292"/>
        <v>0</v>
      </c>
      <c r="CL211" s="35">
        <f t="shared" si="293"/>
        <v>0</v>
      </c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>
        <f t="shared" si="261"/>
        <v>0</v>
      </c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>
        <f t="shared" si="294"/>
        <v>0</v>
      </c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>
        <f t="shared" si="263"/>
        <v>0</v>
      </c>
      <c r="DZ211" s="35">
        <f t="shared" si="295"/>
        <v>0</v>
      </c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>
        <f t="shared" si="265"/>
        <v>0</v>
      </c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>
        <f t="shared" si="296"/>
        <v>0</v>
      </c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>
        <f t="shared" si="267"/>
        <v>0</v>
      </c>
      <c r="FN211" s="35">
        <f t="shared" si="297"/>
        <v>0</v>
      </c>
      <c r="FO211" s="35">
        <f t="shared" si="269"/>
        <v>0</v>
      </c>
    </row>
    <row r="212" spans="1:171" x14ac:dyDescent="0.35">
      <c r="A212" s="34"/>
      <c r="B212" s="40"/>
      <c r="C212" s="58"/>
      <c r="D212" s="54" t="s">
        <v>196</v>
      </c>
      <c r="E212" s="58" t="s">
        <v>8</v>
      </c>
      <c r="F212" s="58" t="s">
        <v>18</v>
      </c>
      <c r="G212" s="58"/>
      <c r="H212" s="58"/>
      <c r="I212" s="58"/>
      <c r="J212" s="61">
        <f t="shared" si="298"/>
        <v>0</v>
      </c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>
        <f t="shared" si="287"/>
        <v>0</v>
      </c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>
        <f t="shared" si="288"/>
        <v>0</v>
      </c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>
        <f t="shared" si="289"/>
        <v>0</v>
      </c>
      <c r="AX212" s="35">
        <f t="shared" si="256"/>
        <v>0</v>
      </c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>
        <f t="shared" si="290"/>
        <v>0</v>
      </c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>
        <f t="shared" si="291"/>
        <v>0</v>
      </c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>
        <f t="shared" si="292"/>
        <v>0</v>
      </c>
      <c r="CL212" s="35">
        <f t="shared" si="293"/>
        <v>0</v>
      </c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>
        <f t="shared" si="261"/>
        <v>0</v>
      </c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>
        <f t="shared" si="294"/>
        <v>0</v>
      </c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>
        <f t="shared" si="263"/>
        <v>0</v>
      </c>
      <c r="DZ212" s="35">
        <f t="shared" si="295"/>
        <v>0</v>
      </c>
      <c r="EA212" s="35"/>
      <c r="EB212" s="35"/>
      <c r="EC212" s="35"/>
      <c r="ED212" s="35"/>
      <c r="EE212" s="35"/>
      <c r="EF212" s="35"/>
      <c r="EG212" s="35">
        <v>5600</v>
      </c>
      <c r="EH212" s="35"/>
      <c r="EI212" s="35"/>
      <c r="EJ212" s="35"/>
      <c r="EK212" s="35"/>
      <c r="EL212" s="35"/>
      <c r="EM212" s="35">
        <f t="shared" si="265"/>
        <v>5600</v>
      </c>
      <c r="EN212" s="35"/>
      <c r="EO212" s="35"/>
      <c r="EP212" s="35"/>
      <c r="EQ212" s="35"/>
      <c r="ER212" s="35"/>
      <c r="ES212" s="35"/>
      <c r="ET212" s="35">
        <f>70812.9+5600+5600+5600+5600</f>
        <v>93212.9</v>
      </c>
      <c r="EU212" s="35"/>
      <c r="EV212" s="35"/>
      <c r="EW212" s="35"/>
      <c r="EX212" s="35"/>
      <c r="EY212" s="35"/>
      <c r="EZ212" s="35">
        <f t="shared" si="296"/>
        <v>93212.9</v>
      </c>
      <c r="FA212" s="35"/>
      <c r="FB212" s="35"/>
      <c r="FC212" s="35"/>
      <c r="FD212" s="35"/>
      <c r="FE212" s="35"/>
      <c r="FF212" s="35"/>
      <c r="FG212" s="35">
        <v>5600</v>
      </c>
      <c r="FH212" s="35"/>
      <c r="FI212" s="35"/>
      <c r="FJ212" s="35"/>
      <c r="FK212" s="35"/>
      <c r="FL212" s="35"/>
      <c r="FM212" s="35">
        <f t="shared" si="267"/>
        <v>5600</v>
      </c>
      <c r="FN212" s="35">
        <f t="shared" si="297"/>
        <v>104412.9</v>
      </c>
      <c r="FO212" s="35">
        <f t="shared" si="269"/>
        <v>104412.9</v>
      </c>
    </row>
    <row r="213" spans="1:171" x14ac:dyDescent="0.35">
      <c r="A213" s="34"/>
      <c r="B213" s="40"/>
      <c r="C213" s="58"/>
      <c r="D213" s="80" t="s">
        <v>233</v>
      </c>
      <c r="E213" s="58" t="s">
        <v>8</v>
      </c>
      <c r="F213" s="58" t="s">
        <v>18</v>
      </c>
      <c r="G213" s="58"/>
      <c r="H213" s="58"/>
      <c r="I213" s="58"/>
      <c r="J213" s="61">
        <f t="shared" si="298"/>
        <v>0</v>
      </c>
      <c r="K213" s="35"/>
      <c r="L213" s="35"/>
      <c r="M213" s="35"/>
      <c r="N213" s="35"/>
      <c r="O213" s="35"/>
      <c r="P213" s="35"/>
      <c r="Q213" s="35">
        <v>5600</v>
      </c>
      <c r="R213" s="35"/>
      <c r="S213" s="35"/>
      <c r="T213" s="35"/>
      <c r="U213" s="35"/>
      <c r="V213" s="35"/>
      <c r="W213" s="35">
        <f t="shared" si="287"/>
        <v>5600</v>
      </c>
      <c r="X213" s="35"/>
      <c r="Y213" s="35"/>
      <c r="Z213" s="35"/>
      <c r="AA213" s="35"/>
      <c r="AB213" s="35"/>
      <c r="AC213" s="35"/>
      <c r="AD213" s="35">
        <v>5600</v>
      </c>
      <c r="AE213" s="35"/>
      <c r="AF213" s="35"/>
      <c r="AG213" s="35"/>
      <c r="AH213" s="35"/>
      <c r="AI213" s="35"/>
      <c r="AJ213" s="35">
        <f t="shared" si="288"/>
        <v>5600</v>
      </c>
      <c r="AK213" s="35"/>
      <c r="AL213" s="35"/>
      <c r="AM213" s="35"/>
      <c r="AN213" s="35"/>
      <c r="AO213" s="35"/>
      <c r="AP213" s="35"/>
      <c r="AQ213" s="35">
        <v>5600</v>
      </c>
      <c r="AR213" s="35"/>
      <c r="AS213" s="35"/>
      <c r="AT213" s="35"/>
      <c r="AU213" s="35"/>
      <c r="AV213" s="35"/>
      <c r="AW213" s="35">
        <f t="shared" si="289"/>
        <v>5600</v>
      </c>
      <c r="AX213" s="35">
        <f t="shared" si="256"/>
        <v>16800</v>
      </c>
      <c r="AY213" s="35"/>
      <c r="AZ213" s="35"/>
      <c r="BA213" s="35"/>
      <c r="BB213" s="35"/>
      <c r="BC213" s="35"/>
      <c r="BD213" s="35"/>
      <c r="BE213" s="35">
        <v>5600</v>
      </c>
      <c r="BF213" s="35"/>
      <c r="BG213" s="35"/>
      <c r="BH213" s="35"/>
      <c r="BI213" s="35"/>
      <c r="BJ213" s="35"/>
      <c r="BK213" s="35">
        <f t="shared" si="290"/>
        <v>5600</v>
      </c>
      <c r="BL213" s="35"/>
      <c r="BM213" s="35"/>
      <c r="BN213" s="35"/>
      <c r="BO213" s="35"/>
      <c r="BP213" s="35"/>
      <c r="BQ213" s="35"/>
      <c r="BR213" s="35">
        <v>5600</v>
      </c>
      <c r="BS213" s="35"/>
      <c r="BT213" s="35"/>
      <c r="BU213" s="35"/>
      <c r="BV213" s="35"/>
      <c r="BW213" s="35"/>
      <c r="BX213" s="35">
        <f t="shared" si="291"/>
        <v>5600</v>
      </c>
      <c r="BY213" s="35"/>
      <c r="BZ213" s="35"/>
      <c r="CA213" s="35"/>
      <c r="CB213" s="35"/>
      <c r="CC213" s="35"/>
      <c r="CD213" s="35"/>
      <c r="CE213" s="35">
        <v>5600</v>
      </c>
      <c r="CF213" s="35"/>
      <c r="CG213" s="35"/>
      <c r="CH213" s="35"/>
      <c r="CI213" s="35"/>
      <c r="CJ213" s="35"/>
      <c r="CK213" s="35">
        <f t="shared" si="292"/>
        <v>5600</v>
      </c>
      <c r="CL213" s="35">
        <f t="shared" si="293"/>
        <v>16800</v>
      </c>
      <c r="CM213" s="35"/>
      <c r="CN213" s="35"/>
      <c r="CO213" s="35"/>
      <c r="CP213" s="35"/>
      <c r="CQ213" s="35"/>
      <c r="CR213" s="35"/>
      <c r="CS213" s="35">
        <v>5600</v>
      </c>
      <c r="CT213" s="35"/>
      <c r="CU213" s="35"/>
      <c r="CV213" s="35"/>
      <c r="CW213" s="35"/>
      <c r="CX213" s="35"/>
      <c r="CY213" s="35">
        <f t="shared" si="261"/>
        <v>5600</v>
      </c>
      <c r="CZ213" s="35"/>
      <c r="DA213" s="35"/>
      <c r="DB213" s="35"/>
      <c r="DC213" s="35"/>
      <c r="DD213" s="35"/>
      <c r="DE213" s="35"/>
      <c r="DF213" s="35">
        <v>5600</v>
      </c>
      <c r="DG213" s="35"/>
      <c r="DH213" s="35"/>
      <c r="DI213" s="35"/>
      <c r="DJ213" s="35"/>
      <c r="DK213" s="35"/>
      <c r="DL213" s="35">
        <f t="shared" si="294"/>
        <v>5600</v>
      </c>
      <c r="DM213" s="35"/>
      <c r="DN213" s="35"/>
      <c r="DO213" s="35"/>
      <c r="DP213" s="35"/>
      <c r="DQ213" s="35"/>
      <c r="DR213" s="35"/>
      <c r="DS213" s="35">
        <v>5600</v>
      </c>
      <c r="DT213" s="35"/>
      <c r="DU213" s="35"/>
      <c r="DV213" s="35"/>
      <c r="DW213" s="35"/>
      <c r="DX213" s="35"/>
      <c r="DY213" s="35">
        <f t="shared" si="263"/>
        <v>5600</v>
      </c>
      <c r="DZ213" s="35">
        <f t="shared" si="295"/>
        <v>16800</v>
      </c>
      <c r="EA213" s="35"/>
      <c r="EB213" s="35"/>
      <c r="EC213" s="35"/>
      <c r="ED213" s="35"/>
      <c r="EE213" s="35"/>
      <c r="EF213" s="35"/>
      <c r="EG213" s="35">
        <v>5600</v>
      </c>
      <c r="EH213" s="35"/>
      <c r="EI213" s="35"/>
      <c r="EJ213" s="35"/>
      <c r="EK213" s="35"/>
      <c r="EL213" s="35"/>
      <c r="EM213" s="35">
        <f t="shared" si="265"/>
        <v>5600</v>
      </c>
      <c r="EN213" s="35"/>
      <c r="EO213" s="35"/>
      <c r="EP213" s="35"/>
      <c r="EQ213" s="35"/>
      <c r="ER213" s="35"/>
      <c r="ES213" s="35"/>
      <c r="ET213" s="35">
        <v>5600</v>
      </c>
      <c r="EU213" s="35"/>
      <c r="EV213" s="35"/>
      <c r="EW213" s="35"/>
      <c r="EX213" s="35"/>
      <c r="EY213" s="35"/>
      <c r="EZ213" s="35">
        <f t="shared" si="296"/>
        <v>5600</v>
      </c>
      <c r="FA213" s="35"/>
      <c r="FB213" s="35"/>
      <c r="FC213" s="35"/>
      <c r="FD213" s="35"/>
      <c r="FE213" s="35"/>
      <c r="FF213" s="35"/>
      <c r="FG213" s="35">
        <v>5600</v>
      </c>
      <c r="FH213" s="35"/>
      <c r="FI213" s="35"/>
      <c r="FJ213" s="35"/>
      <c r="FK213" s="35"/>
      <c r="FL213" s="35"/>
      <c r="FM213" s="35">
        <f t="shared" si="267"/>
        <v>5600</v>
      </c>
      <c r="FN213" s="35">
        <f t="shared" si="297"/>
        <v>16800</v>
      </c>
      <c r="FO213" s="35">
        <f t="shared" si="269"/>
        <v>67200</v>
      </c>
    </row>
    <row r="214" spans="1:171" x14ac:dyDescent="0.35">
      <c r="A214" s="34"/>
      <c r="B214" s="40"/>
      <c r="C214" s="58"/>
      <c r="D214" s="41" t="s">
        <v>197</v>
      </c>
      <c r="E214" s="58"/>
      <c r="F214" s="58"/>
      <c r="G214" s="58"/>
      <c r="H214" s="58"/>
      <c r="I214" s="58"/>
      <c r="J214" s="61">
        <f t="shared" si="298"/>
        <v>0</v>
      </c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>
        <f t="shared" si="287"/>
        <v>0</v>
      </c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>
        <f t="shared" si="288"/>
        <v>0</v>
      </c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>
        <f t="shared" si="289"/>
        <v>0</v>
      </c>
      <c r="AX214" s="35">
        <f t="shared" si="256"/>
        <v>0</v>
      </c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>
        <f t="shared" si="290"/>
        <v>0</v>
      </c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>
        <f t="shared" si="291"/>
        <v>0</v>
      </c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>
        <f t="shared" si="292"/>
        <v>0</v>
      </c>
      <c r="CL214" s="35">
        <f t="shared" si="293"/>
        <v>0</v>
      </c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>
        <f t="shared" si="261"/>
        <v>0</v>
      </c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>
        <f t="shared" si="294"/>
        <v>0</v>
      </c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>
        <f t="shared" si="263"/>
        <v>0</v>
      </c>
      <c r="DZ214" s="35">
        <f t="shared" si="295"/>
        <v>0</v>
      </c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>
        <f t="shared" si="265"/>
        <v>0</v>
      </c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>
        <f t="shared" si="296"/>
        <v>0</v>
      </c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>
        <f t="shared" si="267"/>
        <v>0</v>
      </c>
      <c r="FN214" s="35">
        <f t="shared" si="297"/>
        <v>0</v>
      </c>
      <c r="FO214" s="35">
        <f t="shared" si="269"/>
        <v>0</v>
      </c>
    </row>
    <row r="215" spans="1:171" x14ac:dyDescent="0.35">
      <c r="A215" s="34"/>
      <c r="B215" s="40"/>
      <c r="C215" s="58"/>
      <c r="D215" s="41" t="s">
        <v>198</v>
      </c>
      <c r="E215" s="58"/>
      <c r="F215" s="58"/>
      <c r="G215" s="58"/>
      <c r="H215" s="58"/>
      <c r="I215" s="58"/>
      <c r="J215" s="61">
        <f t="shared" si="298"/>
        <v>0</v>
      </c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>
        <f t="shared" si="287"/>
        <v>0</v>
      </c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>
        <f t="shared" si="288"/>
        <v>0</v>
      </c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>
        <f t="shared" si="289"/>
        <v>0</v>
      </c>
      <c r="AX215" s="35">
        <f t="shared" si="256"/>
        <v>0</v>
      </c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>
        <f t="shared" si="290"/>
        <v>0</v>
      </c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>
        <f t="shared" si="291"/>
        <v>0</v>
      </c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>
        <f t="shared" si="292"/>
        <v>0</v>
      </c>
      <c r="CL215" s="35">
        <f t="shared" si="293"/>
        <v>0</v>
      </c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>
        <f t="shared" si="261"/>
        <v>0</v>
      </c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>
        <f t="shared" si="294"/>
        <v>0</v>
      </c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>
        <f t="shared" si="263"/>
        <v>0</v>
      </c>
      <c r="DZ215" s="35">
        <f t="shared" si="295"/>
        <v>0</v>
      </c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>
        <f t="shared" si="265"/>
        <v>0</v>
      </c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>
        <f t="shared" si="296"/>
        <v>0</v>
      </c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>
        <f t="shared" si="267"/>
        <v>0</v>
      </c>
      <c r="FN215" s="35">
        <f t="shared" si="297"/>
        <v>0</v>
      </c>
      <c r="FO215" s="35">
        <f t="shared" si="269"/>
        <v>0</v>
      </c>
    </row>
    <row r="216" spans="1:171" x14ac:dyDescent="0.35">
      <c r="A216" s="34"/>
      <c r="B216" s="40"/>
      <c r="C216" s="58"/>
      <c r="D216" s="41" t="s">
        <v>199</v>
      </c>
      <c r="E216" s="58"/>
      <c r="F216" s="58"/>
      <c r="G216" s="58"/>
      <c r="H216" s="58"/>
      <c r="I216" s="58"/>
      <c r="J216" s="61">
        <f t="shared" si="298"/>
        <v>0</v>
      </c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>
        <f t="shared" si="287"/>
        <v>0</v>
      </c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>
        <f t="shared" ref="AJ216:AJ244" si="299">SUM(X216:AI216)</f>
        <v>0</v>
      </c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>
        <f t="shared" ref="AW216:AW241" si="300">SUM(AK216:AV216)</f>
        <v>0</v>
      </c>
      <c r="AX216" s="35">
        <f t="shared" si="256"/>
        <v>0</v>
      </c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>
        <f t="shared" si="290"/>
        <v>0</v>
      </c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>
        <f t="shared" si="291"/>
        <v>0</v>
      </c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>
        <f t="shared" si="292"/>
        <v>0</v>
      </c>
      <c r="CL216" s="35">
        <f t="shared" si="293"/>
        <v>0</v>
      </c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>
        <f t="shared" si="261"/>
        <v>0</v>
      </c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>
        <f t="shared" si="294"/>
        <v>0</v>
      </c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>
        <f t="shared" si="263"/>
        <v>0</v>
      </c>
      <c r="DZ216" s="35">
        <f t="shared" si="295"/>
        <v>0</v>
      </c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>
        <f t="shared" si="265"/>
        <v>0</v>
      </c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>
        <f t="shared" si="296"/>
        <v>0</v>
      </c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>
        <f t="shared" si="267"/>
        <v>0</v>
      </c>
      <c r="FN216" s="35">
        <f t="shared" si="297"/>
        <v>0</v>
      </c>
      <c r="FO216" s="35">
        <f t="shared" si="269"/>
        <v>0</v>
      </c>
    </row>
    <row r="217" spans="1:171" x14ac:dyDescent="0.35">
      <c r="A217" s="34"/>
      <c r="B217" s="40"/>
      <c r="C217" s="58"/>
      <c r="D217" s="41" t="s">
        <v>200</v>
      </c>
      <c r="E217" s="58"/>
      <c r="F217" s="58"/>
      <c r="G217" s="58"/>
      <c r="H217" s="58"/>
      <c r="I217" s="58"/>
      <c r="J217" s="61">
        <f t="shared" si="298"/>
        <v>0</v>
      </c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>
        <f t="shared" si="287"/>
        <v>0</v>
      </c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>
        <f t="shared" si="299"/>
        <v>0</v>
      </c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>
        <f t="shared" si="300"/>
        <v>0</v>
      </c>
      <c r="AX217" s="35">
        <f t="shared" si="256"/>
        <v>0</v>
      </c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>
        <f t="shared" si="290"/>
        <v>0</v>
      </c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>
        <f t="shared" si="291"/>
        <v>0</v>
      </c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>
        <f t="shared" si="292"/>
        <v>0</v>
      </c>
      <c r="CL217" s="35">
        <f t="shared" si="293"/>
        <v>0</v>
      </c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>
        <f t="shared" si="261"/>
        <v>0</v>
      </c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>
        <f t="shared" si="294"/>
        <v>0</v>
      </c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>
        <f t="shared" si="263"/>
        <v>0</v>
      </c>
      <c r="DZ217" s="35">
        <f t="shared" si="295"/>
        <v>0</v>
      </c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>
        <f t="shared" si="265"/>
        <v>0</v>
      </c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>
        <f t="shared" si="296"/>
        <v>0</v>
      </c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>
        <f t="shared" si="267"/>
        <v>0</v>
      </c>
      <c r="FN217" s="35">
        <f t="shared" si="297"/>
        <v>0</v>
      </c>
      <c r="FO217" s="35">
        <f t="shared" si="269"/>
        <v>0</v>
      </c>
    </row>
    <row r="218" spans="1:171" x14ac:dyDescent="0.35">
      <c r="A218" s="34"/>
      <c r="B218" s="40"/>
      <c r="C218" s="58"/>
      <c r="D218" s="41" t="s">
        <v>201</v>
      </c>
      <c r="E218" s="58"/>
      <c r="F218" s="58"/>
      <c r="G218" s="58"/>
      <c r="H218" s="58"/>
      <c r="I218" s="58"/>
      <c r="J218" s="61">
        <f t="shared" si="298"/>
        <v>0</v>
      </c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>
        <f t="shared" si="287"/>
        <v>0</v>
      </c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>
        <f t="shared" si="299"/>
        <v>0</v>
      </c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>
        <f t="shared" si="300"/>
        <v>0</v>
      </c>
      <c r="AX218" s="35">
        <f t="shared" si="256"/>
        <v>0</v>
      </c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>
        <f t="shared" si="290"/>
        <v>0</v>
      </c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>
        <f t="shared" si="291"/>
        <v>0</v>
      </c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>
        <f t="shared" si="292"/>
        <v>0</v>
      </c>
      <c r="CL218" s="35">
        <f t="shared" si="293"/>
        <v>0</v>
      </c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>
        <f t="shared" si="261"/>
        <v>0</v>
      </c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>
        <f t="shared" si="294"/>
        <v>0</v>
      </c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>
        <f t="shared" si="263"/>
        <v>0</v>
      </c>
      <c r="DZ218" s="35">
        <f t="shared" si="295"/>
        <v>0</v>
      </c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>
        <f t="shared" si="265"/>
        <v>0</v>
      </c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>
        <f t="shared" si="296"/>
        <v>0</v>
      </c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>
        <f t="shared" si="267"/>
        <v>0</v>
      </c>
      <c r="FN218" s="35">
        <f t="shared" si="297"/>
        <v>0</v>
      </c>
      <c r="FO218" s="35">
        <f t="shared" si="269"/>
        <v>0</v>
      </c>
    </row>
    <row r="219" spans="1:171" x14ac:dyDescent="0.35">
      <c r="A219" s="34"/>
      <c r="B219" s="40"/>
      <c r="C219" s="58"/>
      <c r="D219" s="41" t="s">
        <v>202</v>
      </c>
      <c r="E219" s="58"/>
      <c r="F219" s="58"/>
      <c r="G219" s="58"/>
      <c r="H219" s="58"/>
      <c r="I219" s="58"/>
      <c r="J219" s="61">
        <f t="shared" si="298"/>
        <v>0</v>
      </c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>
        <f t="shared" si="287"/>
        <v>0</v>
      </c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>
        <f t="shared" si="299"/>
        <v>0</v>
      </c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>
        <f>SUM(AK219:AV219)</f>
        <v>0</v>
      </c>
      <c r="AX219" s="35">
        <f t="shared" si="256"/>
        <v>0</v>
      </c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>
        <f t="shared" si="290"/>
        <v>0</v>
      </c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>
        <f t="shared" si="291"/>
        <v>0</v>
      </c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>
        <f t="shared" si="292"/>
        <v>0</v>
      </c>
      <c r="CL219" s="35">
        <f t="shared" si="293"/>
        <v>0</v>
      </c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>
        <f t="shared" si="261"/>
        <v>0</v>
      </c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>
        <f t="shared" si="294"/>
        <v>0</v>
      </c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>
        <f t="shared" si="263"/>
        <v>0</v>
      </c>
      <c r="DZ219" s="35">
        <f t="shared" si="295"/>
        <v>0</v>
      </c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>
        <f t="shared" si="265"/>
        <v>0</v>
      </c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>
        <f t="shared" si="296"/>
        <v>0</v>
      </c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>
        <f t="shared" si="267"/>
        <v>0</v>
      </c>
      <c r="FN219" s="35">
        <f t="shared" si="297"/>
        <v>0</v>
      </c>
      <c r="FO219" s="35">
        <f t="shared" si="269"/>
        <v>0</v>
      </c>
    </row>
    <row r="220" spans="1:171" x14ac:dyDescent="0.35">
      <c r="A220" s="34"/>
      <c r="B220" s="40"/>
      <c r="C220" s="58"/>
      <c r="D220" s="41" t="s">
        <v>238</v>
      </c>
      <c r="E220" s="58"/>
      <c r="F220" s="58"/>
      <c r="G220" s="58"/>
      <c r="H220" s="58"/>
      <c r="I220" s="58"/>
      <c r="J220" s="61">
        <f t="shared" si="298"/>
        <v>0</v>
      </c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>
        <f t="shared" ref="W220:W244" si="301">SUM(K220:V220)</f>
        <v>0</v>
      </c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>
        <f t="shared" si="299"/>
        <v>0</v>
      </c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>
        <f t="shared" si="300"/>
        <v>0</v>
      </c>
      <c r="AX220" s="35">
        <f t="shared" si="256"/>
        <v>0</v>
      </c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>
        <f t="shared" ref="BK220:BK241" si="302">SUM(AY220:BJ220)</f>
        <v>0</v>
      </c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>
        <f t="shared" ref="BX220:BX241" si="303">SUM(BL220:BW220)</f>
        <v>0</v>
      </c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>
        <f t="shared" si="292"/>
        <v>0</v>
      </c>
      <c r="CL220" s="35">
        <f t="shared" si="293"/>
        <v>0</v>
      </c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>
        <f t="shared" si="261"/>
        <v>0</v>
      </c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>
        <f t="shared" si="294"/>
        <v>0</v>
      </c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>
        <f t="shared" si="263"/>
        <v>0</v>
      </c>
      <c r="DZ220" s="35">
        <f t="shared" si="295"/>
        <v>0</v>
      </c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>
        <f t="shared" si="265"/>
        <v>0</v>
      </c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>
        <f t="shared" si="296"/>
        <v>0</v>
      </c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>
        <f t="shared" si="267"/>
        <v>0</v>
      </c>
      <c r="FN220" s="35">
        <f t="shared" si="297"/>
        <v>0</v>
      </c>
      <c r="FO220" s="35">
        <f t="shared" si="269"/>
        <v>0</v>
      </c>
    </row>
    <row r="221" spans="1:171" x14ac:dyDescent="0.35">
      <c r="A221" s="34"/>
      <c r="B221" s="40"/>
      <c r="C221" s="58"/>
      <c r="D221" s="80" t="s">
        <v>243</v>
      </c>
      <c r="E221" s="58" t="s">
        <v>8</v>
      </c>
      <c r="F221" s="58" t="s">
        <v>18</v>
      </c>
      <c r="G221" s="81" t="s">
        <v>250</v>
      </c>
      <c r="H221" s="61"/>
      <c r="I221" s="61">
        <f>72800+5600+5600+5600</f>
        <v>89600</v>
      </c>
      <c r="J221" s="61">
        <f t="shared" si="298"/>
        <v>89600</v>
      </c>
      <c r="K221" s="35"/>
      <c r="L221" s="35"/>
      <c r="M221" s="35"/>
      <c r="N221" s="35"/>
      <c r="O221" s="35"/>
      <c r="P221" s="35"/>
      <c r="Q221" s="35">
        <v>5600</v>
      </c>
      <c r="R221" s="35"/>
      <c r="S221" s="35"/>
      <c r="T221" s="35"/>
      <c r="U221" s="35"/>
      <c r="V221" s="35"/>
      <c r="W221" s="35">
        <f t="shared" si="301"/>
        <v>5600</v>
      </c>
      <c r="X221" s="35"/>
      <c r="Y221" s="35"/>
      <c r="Z221" s="35"/>
      <c r="AA221" s="35"/>
      <c r="AB221" s="35"/>
      <c r="AC221" s="35"/>
      <c r="AD221" s="35">
        <v>5600</v>
      </c>
      <c r="AE221" s="35"/>
      <c r="AF221" s="35"/>
      <c r="AG221" s="35"/>
      <c r="AH221" s="35"/>
      <c r="AI221" s="35"/>
      <c r="AJ221" s="35">
        <f t="shared" si="299"/>
        <v>5600</v>
      </c>
      <c r="AK221" s="35"/>
      <c r="AL221" s="35"/>
      <c r="AM221" s="35"/>
      <c r="AN221" s="35"/>
      <c r="AO221" s="35"/>
      <c r="AP221" s="35"/>
      <c r="AQ221" s="35">
        <v>5600</v>
      </c>
      <c r="AR221" s="35"/>
      <c r="AS221" s="35"/>
      <c r="AT221" s="35"/>
      <c r="AU221" s="35"/>
      <c r="AV221" s="35"/>
      <c r="AW221" s="35">
        <f t="shared" si="300"/>
        <v>5600</v>
      </c>
      <c r="AX221" s="35">
        <f t="shared" si="256"/>
        <v>16800</v>
      </c>
      <c r="AY221" s="35"/>
      <c r="AZ221" s="35"/>
      <c r="BA221" s="35"/>
      <c r="BB221" s="35"/>
      <c r="BC221" s="35"/>
      <c r="BD221" s="35"/>
      <c r="BE221" s="35">
        <v>5600</v>
      </c>
      <c r="BF221" s="35"/>
      <c r="BG221" s="35"/>
      <c r="BH221" s="35"/>
      <c r="BI221" s="35"/>
      <c r="BJ221" s="35"/>
      <c r="BK221" s="35">
        <f t="shared" si="302"/>
        <v>5600</v>
      </c>
      <c r="BL221" s="35"/>
      <c r="BM221" s="35"/>
      <c r="BN221" s="35"/>
      <c r="BO221" s="35"/>
      <c r="BP221" s="35"/>
      <c r="BQ221" s="35"/>
      <c r="BR221" s="35">
        <v>5600</v>
      </c>
      <c r="BS221" s="35"/>
      <c r="BT221" s="35"/>
      <c r="BU221" s="35"/>
      <c r="BV221" s="35"/>
      <c r="BW221" s="35"/>
      <c r="BX221" s="35">
        <f t="shared" si="303"/>
        <v>5600</v>
      </c>
      <c r="BY221" s="35"/>
      <c r="BZ221" s="35"/>
      <c r="CA221" s="35"/>
      <c r="CB221" s="35"/>
      <c r="CC221" s="35"/>
      <c r="CD221" s="35"/>
      <c r="CE221" s="35">
        <f>89600+5600+16800+16800</f>
        <v>128800</v>
      </c>
      <c r="CF221" s="35"/>
      <c r="CG221" s="35"/>
      <c r="CH221" s="35"/>
      <c r="CI221" s="35"/>
      <c r="CJ221" s="35"/>
      <c r="CK221" s="35">
        <f t="shared" si="292"/>
        <v>128800</v>
      </c>
      <c r="CL221" s="35">
        <f t="shared" si="293"/>
        <v>140000</v>
      </c>
      <c r="CM221" s="35"/>
      <c r="CN221" s="35"/>
      <c r="CO221" s="35"/>
      <c r="CP221" s="35"/>
      <c r="CQ221" s="35"/>
      <c r="CR221" s="35"/>
      <c r="CS221" s="35">
        <v>5600</v>
      </c>
      <c r="CT221" s="35"/>
      <c r="CU221" s="35"/>
      <c r="CV221" s="35"/>
      <c r="CW221" s="35"/>
      <c r="CX221" s="35"/>
      <c r="CY221" s="35">
        <f t="shared" si="261"/>
        <v>5600</v>
      </c>
      <c r="CZ221" s="35"/>
      <c r="DA221" s="35"/>
      <c r="DB221" s="35"/>
      <c r="DC221" s="35"/>
      <c r="DD221" s="35"/>
      <c r="DE221" s="35"/>
      <c r="DF221" s="35">
        <v>5600</v>
      </c>
      <c r="DG221" s="35"/>
      <c r="DH221" s="35"/>
      <c r="DI221" s="35"/>
      <c r="DJ221" s="35"/>
      <c r="DK221" s="35"/>
      <c r="DL221" s="35">
        <f t="shared" si="294"/>
        <v>5600</v>
      </c>
      <c r="DM221" s="35"/>
      <c r="DN221" s="35"/>
      <c r="DO221" s="35"/>
      <c r="DP221" s="35"/>
      <c r="DQ221" s="35"/>
      <c r="DR221" s="35"/>
      <c r="DS221" s="35">
        <v>5600</v>
      </c>
      <c r="DT221" s="35"/>
      <c r="DU221" s="35"/>
      <c r="DV221" s="35"/>
      <c r="DW221" s="35"/>
      <c r="DX221" s="35"/>
      <c r="DY221" s="35">
        <f t="shared" si="263"/>
        <v>5600</v>
      </c>
      <c r="DZ221" s="35">
        <f t="shared" si="295"/>
        <v>16800</v>
      </c>
      <c r="EA221" s="35"/>
      <c r="EB221" s="35"/>
      <c r="EC221" s="35"/>
      <c r="ED221" s="35"/>
      <c r="EE221" s="35"/>
      <c r="EF221" s="35"/>
      <c r="EG221" s="35">
        <v>5600</v>
      </c>
      <c r="EH221" s="35"/>
      <c r="EI221" s="35"/>
      <c r="EJ221" s="35"/>
      <c r="EK221" s="35"/>
      <c r="EL221" s="35"/>
      <c r="EM221" s="35">
        <f t="shared" si="265"/>
        <v>5600</v>
      </c>
      <c r="EN221" s="35"/>
      <c r="EO221" s="35"/>
      <c r="EP221" s="35"/>
      <c r="EQ221" s="35"/>
      <c r="ER221" s="35"/>
      <c r="ES221" s="35"/>
      <c r="ET221" s="35">
        <v>5600</v>
      </c>
      <c r="EU221" s="35"/>
      <c r="EV221" s="35"/>
      <c r="EW221" s="35"/>
      <c r="EX221" s="35"/>
      <c r="EY221" s="35"/>
      <c r="EZ221" s="35">
        <f t="shared" si="296"/>
        <v>5600</v>
      </c>
      <c r="FA221" s="35"/>
      <c r="FB221" s="35"/>
      <c r="FC221" s="35"/>
      <c r="FD221" s="35"/>
      <c r="FE221" s="35"/>
      <c r="FF221" s="35"/>
      <c r="FG221" s="35">
        <v>5600</v>
      </c>
      <c r="FH221" s="35"/>
      <c r="FI221" s="35"/>
      <c r="FJ221" s="35"/>
      <c r="FK221" s="35"/>
      <c r="FL221" s="35"/>
      <c r="FM221" s="35">
        <f t="shared" si="267"/>
        <v>5600</v>
      </c>
      <c r="FN221" s="35">
        <f t="shared" si="297"/>
        <v>16800</v>
      </c>
      <c r="FO221" s="35">
        <f t="shared" si="269"/>
        <v>190400</v>
      </c>
    </row>
    <row r="222" spans="1:171" x14ac:dyDescent="0.35">
      <c r="A222" s="34"/>
      <c r="B222" s="40"/>
      <c r="C222" s="58"/>
      <c r="D222" s="41" t="s">
        <v>244</v>
      </c>
      <c r="E222" s="58"/>
      <c r="F222" s="58"/>
      <c r="G222" s="58"/>
      <c r="H222" s="58"/>
      <c r="I222" s="58"/>
      <c r="J222" s="61">
        <f t="shared" si="298"/>
        <v>0</v>
      </c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>
        <f t="shared" si="301"/>
        <v>0</v>
      </c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>
        <f t="shared" si="299"/>
        <v>0</v>
      </c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>
        <f t="shared" si="300"/>
        <v>0</v>
      </c>
      <c r="AX222" s="35">
        <f t="shared" si="256"/>
        <v>0</v>
      </c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>
        <f t="shared" si="302"/>
        <v>0</v>
      </c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>
        <f t="shared" si="303"/>
        <v>0</v>
      </c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>
        <f t="shared" si="292"/>
        <v>0</v>
      </c>
      <c r="CL222" s="35">
        <f t="shared" si="293"/>
        <v>0</v>
      </c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>
        <f t="shared" si="261"/>
        <v>0</v>
      </c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>
        <f t="shared" si="294"/>
        <v>0</v>
      </c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>
        <f t="shared" si="263"/>
        <v>0</v>
      </c>
      <c r="DZ222" s="35">
        <f t="shared" si="295"/>
        <v>0</v>
      </c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>
        <f t="shared" si="265"/>
        <v>0</v>
      </c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>
        <f t="shared" si="296"/>
        <v>0</v>
      </c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>
        <f t="shared" si="267"/>
        <v>0</v>
      </c>
      <c r="FN222" s="35">
        <f t="shared" si="297"/>
        <v>0</v>
      </c>
      <c r="FO222" s="35">
        <f t="shared" si="269"/>
        <v>0</v>
      </c>
    </row>
    <row r="223" spans="1:171" x14ac:dyDescent="0.35">
      <c r="A223" s="34"/>
      <c r="B223" s="40"/>
      <c r="C223" s="58"/>
      <c r="D223" s="41"/>
      <c r="E223" s="58"/>
      <c r="F223" s="58"/>
      <c r="G223" s="58"/>
      <c r="H223" s="58"/>
      <c r="I223" s="58"/>
      <c r="J223" s="58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>
        <f t="shared" si="301"/>
        <v>0</v>
      </c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>
        <f t="shared" si="299"/>
        <v>0</v>
      </c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>
        <f t="shared" si="300"/>
        <v>0</v>
      </c>
      <c r="AX223" s="35">
        <f t="shared" si="256"/>
        <v>0</v>
      </c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>
        <f t="shared" si="302"/>
        <v>0</v>
      </c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>
        <f t="shared" si="303"/>
        <v>0</v>
      </c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>
        <f t="shared" si="292"/>
        <v>0</v>
      </c>
      <c r="CL223" s="35">
        <f t="shared" si="293"/>
        <v>0</v>
      </c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>
        <f t="shared" si="261"/>
        <v>0</v>
      </c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>
        <f t="shared" si="294"/>
        <v>0</v>
      </c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>
        <f t="shared" si="263"/>
        <v>0</v>
      </c>
      <c r="DZ223" s="35">
        <f t="shared" si="295"/>
        <v>0</v>
      </c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>
        <f t="shared" si="265"/>
        <v>0</v>
      </c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>
        <f t="shared" si="296"/>
        <v>0</v>
      </c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>
        <f t="shared" si="267"/>
        <v>0</v>
      </c>
      <c r="FN223" s="35">
        <f t="shared" si="297"/>
        <v>0</v>
      </c>
      <c r="FO223" s="35">
        <f t="shared" si="269"/>
        <v>0</v>
      </c>
    </row>
    <row r="224" spans="1:171" x14ac:dyDescent="0.35">
      <c r="A224" s="48"/>
      <c r="B224" s="49" t="s">
        <v>104</v>
      </c>
      <c r="C224" s="59"/>
      <c r="D224" s="50"/>
      <c r="E224" s="59"/>
      <c r="F224" s="59"/>
      <c r="G224" s="59"/>
      <c r="H224" s="59"/>
      <c r="I224" s="59"/>
      <c r="J224" s="51">
        <f>SUM(J204:J223)</f>
        <v>136748.39000000001</v>
      </c>
      <c r="K224" s="51">
        <f>SUM(K204:K223)</f>
        <v>0</v>
      </c>
      <c r="L224" s="51">
        <f t="shared" ref="L224:V224" si="304">SUM(L204:L223)</f>
        <v>0</v>
      </c>
      <c r="M224" s="51">
        <f t="shared" si="304"/>
        <v>0</v>
      </c>
      <c r="N224" s="51">
        <f t="shared" si="304"/>
        <v>0</v>
      </c>
      <c r="O224" s="51">
        <f t="shared" si="304"/>
        <v>0</v>
      </c>
      <c r="P224" s="51">
        <f t="shared" si="304"/>
        <v>0</v>
      </c>
      <c r="Q224" s="51">
        <f t="shared" si="304"/>
        <v>39200</v>
      </c>
      <c r="R224" s="51">
        <f t="shared" si="304"/>
        <v>0</v>
      </c>
      <c r="S224" s="51">
        <f t="shared" si="304"/>
        <v>0</v>
      </c>
      <c r="T224" s="51">
        <f t="shared" si="304"/>
        <v>0</v>
      </c>
      <c r="U224" s="51">
        <f t="shared" si="304"/>
        <v>0</v>
      </c>
      <c r="V224" s="51">
        <f t="shared" si="304"/>
        <v>0</v>
      </c>
      <c r="W224" s="51">
        <f t="shared" si="301"/>
        <v>39200</v>
      </c>
      <c r="X224" s="51">
        <f>SUM(X204:X223)</f>
        <v>0</v>
      </c>
      <c r="Y224" s="51">
        <f t="shared" ref="Y224:AI224" si="305">SUM(Y204:Y223)</f>
        <v>0</v>
      </c>
      <c r="Z224" s="51">
        <f t="shared" si="305"/>
        <v>0</v>
      </c>
      <c r="AA224" s="51">
        <f t="shared" si="305"/>
        <v>0</v>
      </c>
      <c r="AB224" s="51">
        <f t="shared" si="305"/>
        <v>0</v>
      </c>
      <c r="AC224" s="51">
        <f t="shared" si="305"/>
        <v>0</v>
      </c>
      <c r="AD224" s="51">
        <f t="shared" si="305"/>
        <v>39200</v>
      </c>
      <c r="AE224" s="51">
        <f t="shared" si="305"/>
        <v>0</v>
      </c>
      <c r="AF224" s="51">
        <f t="shared" si="305"/>
        <v>0</v>
      </c>
      <c r="AG224" s="51">
        <f t="shared" si="305"/>
        <v>0</v>
      </c>
      <c r="AH224" s="51">
        <f t="shared" si="305"/>
        <v>0</v>
      </c>
      <c r="AI224" s="51">
        <f t="shared" si="305"/>
        <v>0</v>
      </c>
      <c r="AJ224" s="51">
        <f t="shared" si="299"/>
        <v>39200</v>
      </c>
      <c r="AK224" s="51">
        <f>SUM(AK204:AK223)</f>
        <v>0</v>
      </c>
      <c r="AL224" s="51">
        <f t="shared" ref="AL224:AV224" si="306">SUM(AL204:AL223)</f>
        <v>0</v>
      </c>
      <c r="AM224" s="51">
        <f t="shared" si="306"/>
        <v>0</v>
      </c>
      <c r="AN224" s="51">
        <f t="shared" si="306"/>
        <v>0</v>
      </c>
      <c r="AO224" s="51">
        <f t="shared" si="306"/>
        <v>0</v>
      </c>
      <c r="AP224" s="51">
        <f t="shared" si="306"/>
        <v>0</v>
      </c>
      <c r="AQ224" s="51">
        <f t="shared" si="306"/>
        <v>39200</v>
      </c>
      <c r="AR224" s="51">
        <f t="shared" si="306"/>
        <v>0</v>
      </c>
      <c r="AS224" s="51">
        <f t="shared" si="306"/>
        <v>0</v>
      </c>
      <c r="AT224" s="51">
        <f t="shared" si="306"/>
        <v>0</v>
      </c>
      <c r="AU224" s="51">
        <f t="shared" si="306"/>
        <v>0</v>
      </c>
      <c r="AV224" s="51">
        <f t="shared" si="306"/>
        <v>0</v>
      </c>
      <c r="AW224" s="51">
        <f t="shared" si="300"/>
        <v>39200</v>
      </c>
      <c r="AX224" s="51">
        <f t="shared" si="256"/>
        <v>117600</v>
      </c>
      <c r="AY224" s="51">
        <f>SUM(AY204:AY223)</f>
        <v>0</v>
      </c>
      <c r="AZ224" s="51">
        <f t="shared" ref="AZ224:BJ224" si="307">SUM(AZ204:AZ223)</f>
        <v>0</v>
      </c>
      <c r="BA224" s="51">
        <f t="shared" si="307"/>
        <v>0</v>
      </c>
      <c r="BB224" s="51">
        <f t="shared" si="307"/>
        <v>0</v>
      </c>
      <c r="BC224" s="51">
        <f t="shared" si="307"/>
        <v>0</v>
      </c>
      <c r="BD224" s="51">
        <f t="shared" si="307"/>
        <v>0</v>
      </c>
      <c r="BE224" s="51">
        <f t="shared" si="307"/>
        <v>39200</v>
      </c>
      <c r="BF224" s="51">
        <f t="shared" si="307"/>
        <v>0</v>
      </c>
      <c r="BG224" s="51">
        <f t="shared" si="307"/>
        <v>0</v>
      </c>
      <c r="BH224" s="51">
        <f t="shared" si="307"/>
        <v>0</v>
      </c>
      <c r="BI224" s="51">
        <f t="shared" si="307"/>
        <v>0</v>
      </c>
      <c r="BJ224" s="51">
        <f t="shared" si="307"/>
        <v>0</v>
      </c>
      <c r="BK224" s="51">
        <f t="shared" si="302"/>
        <v>39200</v>
      </c>
      <c r="BL224" s="51">
        <f>SUM(BL204:BL223)</f>
        <v>0</v>
      </c>
      <c r="BM224" s="51">
        <f t="shared" ref="BM224:BW224" si="308">SUM(BM204:BM223)</f>
        <v>0</v>
      </c>
      <c r="BN224" s="51">
        <f t="shared" si="308"/>
        <v>0</v>
      </c>
      <c r="BO224" s="51">
        <f t="shared" si="308"/>
        <v>0</v>
      </c>
      <c r="BP224" s="51">
        <f t="shared" si="308"/>
        <v>0</v>
      </c>
      <c r="BQ224" s="51">
        <f t="shared" si="308"/>
        <v>0</v>
      </c>
      <c r="BR224" s="51">
        <f t="shared" si="308"/>
        <v>39200</v>
      </c>
      <c r="BS224" s="51">
        <f t="shared" si="308"/>
        <v>0</v>
      </c>
      <c r="BT224" s="51">
        <f t="shared" si="308"/>
        <v>0</v>
      </c>
      <c r="BU224" s="51">
        <f t="shared" si="308"/>
        <v>0</v>
      </c>
      <c r="BV224" s="51">
        <f t="shared" si="308"/>
        <v>0</v>
      </c>
      <c r="BW224" s="51">
        <f t="shared" si="308"/>
        <v>0</v>
      </c>
      <c r="BX224" s="51">
        <f t="shared" si="303"/>
        <v>39200</v>
      </c>
      <c r="BY224" s="51">
        <f>SUM(BY204:BY223)</f>
        <v>0</v>
      </c>
      <c r="BZ224" s="51">
        <f t="shared" ref="BZ224:CJ224" si="309">SUM(BZ204:BZ223)</f>
        <v>0</v>
      </c>
      <c r="CA224" s="51">
        <f t="shared" si="309"/>
        <v>0</v>
      </c>
      <c r="CB224" s="51">
        <f t="shared" si="309"/>
        <v>0</v>
      </c>
      <c r="CC224" s="51">
        <f t="shared" si="309"/>
        <v>0</v>
      </c>
      <c r="CD224" s="51">
        <f t="shared" si="309"/>
        <v>0</v>
      </c>
      <c r="CE224" s="51">
        <f t="shared" si="309"/>
        <v>243148.39</v>
      </c>
      <c r="CF224" s="51">
        <f t="shared" si="309"/>
        <v>0</v>
      </c>
      <c r="CG224" s="51">
        <f t="shared" si="309"/>
        <v>0</v>
      </c>
      <c r="CH224" s="51">
        <f t="shared" si="309"/>
        <v>0</v>
      </c>
      <c r="CI224" s="51">
        <f t="shared" si="309"/>
        <v>0</v>
      </c>
      <c r="CJ224" s="51">
        <f t="shared" si="309"/>
        <v>0</v>
      </c>
      <c r="CK224" s="51">
        <f t="shared" si="292"/>
        <v>243148.39</v>
      </c>
      <c r="CL224" s="51">
        <f t="shared" si="293"/>
        <v>321548.39</v>
      </c>
      <c r="CM224" s="51">
        <f>SUM(CM204:CM223)</f>
        <v>0</v>
      </c>
      <c r="CN224" s="51">
        <f t="shared" ref="CN224:CX224" si="310">SUM(CN204:CN223)</f>
        <v>0</v>
      </c>
      <c r="CO224" s="51">
        <f t="shared" si="310"/>
        <v>0</v>
      </c>
      <c r="CP224" s="51">
        <f t="shared" si="310"/>
        <v>0</v>
      </c>
      <c r="CQ224" s="51">
        <f t="shared" si="310"/>
        <v>0</v>
      </c>
      <c r="CR224" s="51">
        <f t="shared" si="310"/>
        <v>0</v>
      </c>
      <c r="CS224" s="51">
        <f t="shared" si="310"/>
        <v>39200</v>
      </c>
      <c r="CT224" s="51">
        <f t="shared" si="310"/>
        <v>0</v>
      </c>
      <c r="CU224" s="51">
        <f t="shared" si="310"/>
        <v>0</v>
      </c>
      <c r="CV224" s="51">
        <f t="shared" si="310"/>
        <v>0</v>
      </c>
      <c r="CW224" s="51">
        <f t="shared" si="310"/>
        <v>0</v>
      </c>
      <c r="CX224" s="51">
        <f t="shared" si="310"/>
        <v>0</v>
      </c>
      <c r="CY224" s="51">
        <f t="shared" si="261"/>
        <v>39200</v>
      </c>
      <c r="CZ224" s="51">
        <f>SUM(CZ204:CZ223)</f>
        <v>0</v>
      </c>
      <c r="DA224" s="51">
        <f t="shared" ref="DA224:DK224" si="311">SUM(DA204:DA223)</f>
        <v>0</v>
      </c>
      <c r="DB224" s="51">
        <f t="shared" si="311"/>
        <v>0</v>
      </c>
      <c r="DC224" s="51">
        <f t="shared" si="311"/>
        <v>0</v>
      </c>
      <c r="DD224" s="51">
        <f t="shared" si="311"/>
        <v>0</v>
      </c>
      <c r="DE224" s="51">
        <f t="shared" si="311"/>
        <v>0</v>
      </c>
      <c r="DF224" s="51">
        <f t="shared" si="311"/>
        <v>39200</v>
      </c>
      <c r="DG224" s="51">
        <f t="shared" si="311"/>
        <v>0</v>
      </c>
      <c r="DH224" s="51">
        <f t="shared" si="311"/>
        <v>0</v>
      </c>
      <c r="DI224" s="51">
        <f t="shared" si="311"/>
        <v>0</v>
      </c>
      <c r="DJ224" s="51">
        <f t="shared" si="311"/>
        <v>0</v>
      </c>
      <c r="DK224" s="51">
        <f t="shared" si="311"/>
        <v>0</v>
      </c>
      <c r="DL224" s="51">
        <f t="shared" si="294"/>
        <v>39200</v>
      </c>
      <c r="DM224" s="51">
        <f>SUM(DM204:DM223)</f>
        <v>0</v>
      </c>
      <c r="DN224" s="51">
        <f t="shared" ref="DN224:DX224" si="312">SUM(DN204:DN223)</f>
        <v>0</v>
      </c>
      <c r="DO224" s="51">
        <f t="shared" si="312"/>
        <v>0</v>
      </c>
      <c r="DP224" s="51">
        <f t="shared" si="312"/>
        <v>0</v>
      </c>
      <c r="DQ224" s="51">
        <f t="shared" si="312"/>
        <v>0</v>
      </c>
      <c r="DR224" s="51">
        <f t="shared" si="312"/>
        <v>0</v>
      </c>
      <c r="DS224" s="51">
        <f t="shared" si="312"/>
        <v>39200</v>
      </c>
      <c r="DT224" s="51">
        <f t="shared" si="312"/>
        <v>0</v>
      </c>
      <c r="DU224" s="51">
        <f t="shared" si="312"/>
        <v>0</v>
      </c>
      <c r="DV224" s="51">
        <f t="shared" si="312"/>
        <v>0</v>
      </c>
      <c r="DW224" s="51">
        <f t="shared" si="312"/>
        <v>0</v>
      </c>
      <c r="DX224" s="51">
        <f t="shared" si="312"/>
        <v>0</v>
      </c>
      <c r="DY224" s="51">
        <f t="shared" si="263"/>
        <v>39200</v>
      </c>
      <c r="DZ224" s="51">
        <f t="shared" si="295"/>
        <v>117600</v>
      </c>
      <c r="EA224" s="51">
        <f>SUM(EA204:EA223)</f>
        <v>0</v>
      </c>
      <c r="EB224" s="51">
        <f t="shared" ref="EB224:EL224" si="313">SUM(EB204:EB223)</f>
        <v>0</v>
      </c>
      <c r="EC224" s="51">
        <f t="shared" si="313"/>
        <v>0</v>
      </c>
      <c r="ED224" s="51">
        <f t="shared" si="313"/>
        <v>0</v>
      </c>
      <c r="EE224" s="51">
        <f t="shared" si="313"/>
        <v>0</v>
      </c>
      <c r="EF224" s="51">
        <f t="shared" si="313"/>
        <v>0</v>
      </c>
      <c r="EG224" s="51">
        <f t="shared" si="313"/>
        <v>44800</v>
      </c>
      <c r="EH224" s="51">
        <f t="shared" si="313"/>
        <v>0</v>
      </c>
      <c r="EI224" s="51">
        <f t="shared" si="313"/>
        <v>0</v>
      </c>
      <c r="EJ224" s="51">
        <f t="shared" si="313"/>
        <v>0</v>
      </c>
      <c r="EK224" s="51">
        <f t="shared" si="313"/>
        <v>0</v>
      </c>
      <c r="EL224" s="51">
        <f t="shared" si="313"/>
        <v>0</v>
      </c>
      <c r="EM224" s="51">
        <f t="shared" si="265"/>
        <v>44800</v>
      </c>
      <c r="EN224" s="51">
        <f>SUM(EN204:EN223)</f>
        <v>0</v>
      </c>
      <c r="EO224" s="51">
        <f t="shared" ref="EO224:EY224" si="314">SUM(EO204:EO223)</f>
        <v>0</v>
      </c>
      <c r="EP224" s="51">
        <f t="shared" si="314"/>
        <v>0</v>
      </c>
      <c r="EQ224" s="51">
        <f t="shared" si="314"/>
        <v>0</v>
      </c>
      <c r="ER224" s="51">
        <f t="shared" si="314"/>
        <v>0</v>
      </c>
      <c r="ES224" s="51">
        <f t="shared" si="314"/>
        <v>0</v>
      </c>
      <c r="ET224" s="51">
        <f t="shared" si="314"/>
        <v>132412.9</v>
      </c>
      <c r="EU224" s="51">
        <f t="shared" si="314"/>
        <v>0</v>
      </c>
      <c r="EV224" s="51">
        <f t="shared" si="314"/>
        <v>0</v>
      </c>
      <c r="EW224" s="51">
        <f t="shared" si="314"/>
        <v>0</v>
      </c>
      <c r="EX224" s="51">
        <f t="shared" si="314"/>
        <v>0</v>
      </c>
      <c r="EY224" s="51">
        <f t="shared" si="314"/>
        <v>0</v>
      </c>
      <c r="EZ224" s="51">
        <f t="shared" si="296"/>
        <v>132412.9</v>
      </c>
      <c r="FA224" s="51">
        <f>SUM(FA204:FA223)</f>
        <v>0</v>
      </c>
      <c r="FB224" s="51">
        <f t="shared" ref="FB224:FL224" si="315">SUM(FB204:FB223)</f>
        <v>0</v>
      </c>
      <c r="FC224" s="51">
        <f t="shared" si="315"/>
        <v>0</v>
      </c>
      <c r="FD224" s="51">
        <f t="shared" si="315"/>
        <v>0</v>
      </c>
      <c r="FE224" s="51">
        <f t="shared" si="315"/>
        <v>0</v>
      </c>
      <c r="FF224" s="51">
        <f t="shared" si="315"/>
        <v>0</v>
      </c>
      <c r="FG224" s="51">
        <f t="shared" si="315"/>
        <v>44800</v>
      </c>
      <c r="FH224" s="51">
        <f t="shared" si="315"/>
        <v>0</v>
      </c>
      <c r="FI224" s="51">
        <f t="shared" si="315"/>
        <v>0</v>
      </c>
      <c r="FJ224" s="51">
        <f t="shared" si="315"/>
        <v>0</v>
      </c>
      <c r="FK224" s="51">
        <f t="shared" si="315"/>
        <v>0</v>
      </c>
      <c r="FL224" s="51">
        <f t="shared" si="315"/>
        <v>0</v>
      </c>
      <c r="FM224" s="51">
        <f t="shared" si="267"/>
        <v>44800</v>
      </c>
      <c r="FN224" s="51">
        <f t="shared" si="297"/>
        <v>222012.9</v>
      </c>
      <c r="FO224" s="35">
        <f t="shared" si="269"/>
        <v>778761.29</v>
      </c>
    </row>
    <row r="225" spans="1:171" x14ac:dyDescent="0.35">
      <c r="A225" s="34" t="s">
        <v>4</v>
      </c>
      <c r="B225" s="40" t="s">
        <v>27</v>
      </c>
      <c r="C225" s="58"/>
      <c r="D225" s="41"/>
      <c r="E225" s="58"/>
      <c r="F225" s="58"/>
      <c r="G225" s="58"/>
      <c r="H225" s="58"/>
      <c r="I225" s="58"/>
      <c r="J225" s="58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>
        <f t="shared" si="301"/>
        <v>0</v>
      </c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>
        <f t="shared" si="299"/>
        <v>0</v>
      </c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>
        <f t="shared" si="300"/>
        <v>0</v>
      </c>
      <c r="AX225" s="35">
        <f t="shared" ref="AX225:AX244" si="316">+W225+AJ225+AW225</f>
        <v>0</v>
      </c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>
        <f t="shared" si="302"/>
        <v>0</v>
      </c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>
        <f t="shared" si="303"/>
        <v>0</v>
      </c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>
        <f t="shared" si="292"/>
        <v>0</v>
      </c>
      <c r="CL225" s="35">
        <f t="shared" si="293"/>
        <v>0</v>
      </c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>
        <f t="shared" ref="CY225:CY243" si="317">SUM(CM225:CX225)</f>
        <v>0</v>
      </c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>
        <f t="shared" si="294"/>
        <v>0</v>
      </c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>
        <f t="shared" ref="DY225:DY244" si="318">SUM(DM225:DX225)</f>
        <v>0</v>
      </c>
      <c r="DZ225" s="35">
        <f t="shared" si="295"/>
        <v>0</v>
      </c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>
        <f t="shared" ref="EM225:EM243" si="319">SUM(EA225:EL225)</f>
        <v>0</v>
      </c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>
        <f t="shared" si="296"/>
        <v>0</v>
      </c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>
        <f t="shared" ref="FM225:FM244" si="320">SUM(FA225:FL225)</f>
        <v>0</v>
      </c>
      <c r="FN225" s="35">
        <f t="shared" si="297"/>
        <v>0</v>
      </c>
      <c r="FO225" s="35">
        <f t="shared" ref="FO225:FO244" si="321">+AX225+CL225+DZ225+FN225</f>
        <v>0</v>
      </c>
    </row>
    <row r="226" spans="1:171" x14ac:dyDescent="0.35">
      <c r="A226" s="34"/>
      <c r="B226" s="40"/>
      <c r="C226" s="58"/>
      <c r="D226" s="80" t="s">
        <v>206</v>
      </c>
      <c r="E226" s="58" t="s">
        <v>8</v>
      </c>
      <c r="F226" s="58" t="s">
        <v>17</v>
      </c>
      <c r="G226" s="58"/>
      <c r="H226" s="58"/>
      <c r="I226" s="58"/>
      <c r="J226" s="61">
        <f t="shared" ref="J226:J242" si="322">+H226+I226</f>
        <v>0</v>
      </c>
      <c r="K226" s="35">
        <v>5600</v>
      </c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>
        <f t="shared" si="301"/>
        <v>5600</v>
      </c>
      <c r="X226" s="35">
        <v>5600</v>
      </c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>
        <f t="shared" si="299"/>
        <v>5600</v>
      </c>
      <c r="AK226" s="35">
        <v>5600</v>
      </c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>
        <f t="shared" si="300"/>
        <v>5600</v>
      </c>
      <c r="AX226" s="35">
        <f t="shared" si="316"/>
        <v>16800</v>
      </c>
      <c r="AY226" s="35">
        <v>5600</v>
      </c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>
        <f t="shared" si="302"/>
        <v>5600</v>
      </c>
      <c r="BL226" s="35">
        <v>5600</v>
      </c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>
        <f t="shared" si="303"/>
        <v>5600</v>
      </c>
      <c r="BY226" s="35">
        <v>5600</v>
      </c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>
        <f t="shared" si="292"/>
        <v>5600</v>
      </c>
      <c r="CL226" s="35">
        <f t="shared" si="293"/>
        <v>16800</v>
      </c>
      <c r="CM226" s="35">
        <v>5600</v>
      </c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>
        <f t="shared" si="317"/>
        <v>5600</v>
      </c>
      <c r="CZ226" s="35">
        <v>5600</v>
      </c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>
        <f t="shared" si="294"/>
        <v>5600</v>
      </c>
      <c r="DM226" s="35">
        <v>5600</v>
      </c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>
        <f t="shared" si="318"/>
        <v>5600</v>
      </c>
      <c r="DZ226" s="35">
        <f t="shared" si="295"/>
        <v>16800</v>
      </c>
      <c r="EA226" s="35">
        <v>5600</v>
      </c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>
        <f t="shared" si="319"/>
        <v>5600</v>
      </c>
      <c r="EN226" s="35">
        <v>5600</v>
      </c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>
        <f t="shared" si="296"/>
        <v>5600</v>
      </c>
      <c r="FA226" s="35">
        <v>5600</v>
      </c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>
        <f t="shared" si="320"/>
        <v>5600</v>
      </c>
      <c r="FN226" s="35">
        <f t="shared" si="297"/>
        <v>16800</v>
      </c>
      <c r="FO226" s="35">
        <f t="shared" si="321"/>
        <v>67200</v>
      </c>
    </row>
    <row r="227" spans="1:171" x14ac:dyDescent="0.35">
      <c r="A227" s="34"/>
      <c r="B227" s="40"/>
      <c r="C227" s="58"/>
      <c r="D227" s="41" t="s">
        <v>207</v>
      </c>
      <c r="E227" s="58"/>
      <c r="F227" s="58"/>
      <c r="G227" s="58"/>
      <c r="H227" s="58"/>
      <c r="I227" s="58"/>
      <c r="J227" s="61">
        <f t="shared" si="322"/>
        <v>0</v>
      </c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>
        <f t="shared" si="301"/>
        <v>0</v>
      </c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>
        <f t="shared" si="299"/>
        <v>0</v>
      </c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>
        <f t="shared" si="300"/>
        <v>0</v>
      </c>
      <c r="AX227" s="35">
        <f t="shared" si="316"/>
        <v>0</v>
      </c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>
        <f t="shared" si="302"/>
        <v>0</v>
      </c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>
        <f t="shared" si="303"/>
        <v>0</v>
      </c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>
        <f t="shared" si="292"/>
        <v>0</v>
      </c>
      <c r="CL227" s="35">
        <f t="shared" si="293"/>
        <v>0</v>
      </c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>
        <f t="shared" si="317"/>
        <v>0</v>
      </c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>
        <f t="shared" si="294"/>
        <v>0</v>
      </c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>
        <f t="shared" si="318"/>
        <v>0</v>
      </c>
      <c r="DZ227" s="35">
        <f t="shared" si="295"/>
        <v>0</v>
      </c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>
        <f t="shared" si="319"/>
        <v>0</v>
      </c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>
        <f t="shared" si="296"/>
        <v>0</v>
      </c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>
        <f t="shared" si="320"/>
        <v>0</v>
      </c>
      <c r="FN227" s="35">
        <f t="shared" si="297"/>
        <v>0</v>
      </c>
      <c r="FO227" s="35">
        <f t="shared" si="321"/>
        <v>0</v>
      </c>
    </row>
    <row r="228" spans="1:171" x14ac:dyDescent="0.35">
      <c r="A228" s="34"/>
      <c r="B228" s="40"/>
      <c r="C228" s="58"/>
      <c r="D228" s="80" t="s">
        <v>208</v>
      </c>
      <c r="E228" s="58" t="s">
        <v>8</v>
      </c>
      <c r="F228" s="58" t="s">
        <v>17</v>
      </c>
      <c r="G228" s="81" t="s">
        <v>250</v>
      </c>
      <c r="H228" s="61">
        <f>12693.33+5600+5600+5600</f>
        <v>29493.33</v>
      </c>
      <c r="I228" s="61"/>
      <c r="J228" s="61">
        <f t="shared" si="322"/>
        <v>29493.33</v>
      </c>
      <c r="K228" s="35">
        <v>5600</v>
      </c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>
        <f t="shared" si="301"/>
        <v>5600</v>
      </c>
      <c r="X228" s="35">
        <v>5600</v>
      </c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>
        <f t="shared" si="299"/>
        <v>5600</v>
      </c>
      <c r="AK228" s="35">
        <v>5600</v>
      </c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>
        <f t="shared" si="300"/>
        <v>5600</v>
      </c>
      <c r="AX228" s="35">
        <f t="shared" si="316"/>
        <v>16800</v>
      </c>
      <c r="AY228" s="35">
        <v>5600</v>
      </c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>
        <f t="shared" si="302"/>
        <v>5600</v>
      </c>
      <c r="BL228" s="35">
        <v>5600</v>
      </c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>
        <f t="shared" si="303"/>
        <v>5600</v>
      </c>
      <c r="BY228" s="35">
        <f>5600+29493.33+16800+16800</f>
        <v>68693.33</v>
      </c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>
        <f t="shared" si="292"/>
        <v>68693.33</v>
      </c>
      <c r="CL228" s="35">
        <f t="shared" si="293"/>
        <v>79893.33</v>
      </c>
      <c r="CM228" s="35">
        <v>5600</v>
      </c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>
        <f t="shared" si="317"/>
        <v>5600</v>
      </c>
      <c r="CZ228" s="35">
        <v>5600</v>
      </c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>
        <f t="shared" si="294"/>
        <v>5600</v>
      </c>
      <c r="DM228" s="35">
        <v>5600</v>
      </c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>
        <f t="shared" si="318"/>
        <v>5600</v>
      </c>
      <c r="DZ228" s="35">
        <f t="shared" si="295"/>
        <v>16800</v>
      </c>
      <c r="EA228" s="35">
        <v>5600</v>
      </c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>
        <f t="shared" si="319"/>
        <v>5600</v>
      </c>
      <c r="EN228" s="35">
        <v>5600</v>
      </c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>
        <f t="shared" si="296"/>
        <v>5600</v>
      </c>
      <c r="FA228" s="35">
        <v>5600</v>
      </c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>
        <f t="shared" si="320"/>
        <v>5600</v>
      </c>
      <c r="FN228" s="35">
        <f t="shared" si="297"/>
        <v>16800</v>
      </c>
      <c r="FO228" s="35">
        <f t="shared" si="321"/>
        <v>130293.33</v>
      </c>
    </row>
    <row r="229" spans="1:171" x14ac:dyDescent="0.35">
      <c r="A229" s="34"/>
      <c r="B229" s="40"/>
      <c r="C229" s="58"/>
      <c r="D229" s="41" t="s">
        <v>209</v>
      </c>
      <c r="E229" s="58"/>
      <c r="F229" s="58"/>
      <c r="G229" s="58"/>
      <c r="H229" s="58"/>
      <c r="I229" s="58"/>
      <c r="J229" s="61">
        <f t="shared" si="322"/>
        <v>0</v>
      </c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>
        <f t="shared" si="301"/>
        <v>0</v>
      </c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>
        <f t="shared" si="299"/>
        <v>0</v>
      </c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>
        <f t="shared" si="300"/>
        <v>0</v>
      </c>
      <c r="AX229" s="35">
        <f t="shared" si="316"/>
        <v>0</v>
      </c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>
        <f t="shared" si="302"/>
        <v>0</v>
      </c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>
        <f t="shared" si="303"/>
        <v>0</v>
      </c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>
        <f t="shared" si="292"/>
        <v>0</v>
      </c>
      <c r="CL229" s="35">
        <f t="shared" si="293"/>
        <v>0</v>
      </c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>
        <f t="shared" si="317"/>
        <v>0</v>
      </c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>
        <f t="shared" si="294"/>
        <v>0</v>
      </c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>
        <f t="shared" si="318"/>
        <v>0</v>
      </c>
      <c r="DZ229" s="35">
        <f t="shared" si="295"/>
        <v>0</v>
      </c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>
        <f t="shared" si="319"/>
        <v>0</v>
      </c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>
        <f t="shared" si="296"/>
        <v>0</v>
      </c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>
        <f t="shared" si="320"/>
        <v>0</v>
      </c>
      <c r="FN229" s="35">
        <f t="shared" si="297"/>
        <v>0</v>
      </c>
      <c r="FO229" s="35">
        <f t="shared" si="321"/>
        <v>0</v>
      </c>
    </row>
    <row r="230" spans="1:171" x14ac:dyDescent="0.35">
      <c r="A230" s="34"/>
      <c r="B230" s="40"/>
      <c r="C230" s="58"/>
      <c r="D230" s="41" t="s">
        <v>210</v>
      </c>
      <c r="E230" s="58"/>
      <c r="F230" s="58"/>
      <c r="G230" s="58"/>
      <c r="H230" s="58"/>
      <c r="I230" s="58"/>
      <c r="J230" s="61">
        <f t="shared" si="322"/>
        <v>0</v>
      </c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>
        <f t="shared" si="301"/>
        <v>0</v>
      </c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>
        <f t="shared" si="299"/>
        <v>0</v>
      </c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>
        <f t="shared" si="300"/>
        <v>0</v>
      </c>
      <c r="AX230" s="35">
        <f t="shared" si="316"/>
        <v>0</v>
      </c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>
        <f t="shared" si="302"/>
        <v>0</v>
      </c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>
        <f t="shared" si="303"/>
        <v>0</v>
      </c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>
        <f t="shared" si="292"/>
        <v>0</v>
      </c>
      <c r="CL230" s="35">
        <f t="shared" si="293"/>
        <v>0</v>
      </c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>
        <f t="shared" si="317"/>
        <v>0</v>
      </c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>
        <f t="shared" si="294"/>
        <v>0</v>
      </c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>
        <f t="shared" si="318"/>
        <v>0</v>
      </c>
      <c r="DZ230" s="35">
        <f t="shared" si="295"/>
        <v>0</v>
      </c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>
        <f t="shared" si="319"/>
        <v>0</v>
      </c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>
        <f t="shared" si="296"/>
        <v>0</v>
      </c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>
        <f t="shared" si="320"/>
        <v>0</v>
      </c>
      <c r="FN230" s="35">
        <f t="shared" si="297"/>
        <v>0</v>
      </c>
      <c r="FO230" s="35">
        <f t="shared" si="321"/>
        <v>0</v>
      </c>
    </row>
    <row r="231" spans="1:171" x14ac:dyDescent="0.35">
      <c r="A231" s="34"/>
      <c r="B231" s="40"/>
      <c r="C231" s="58"/>
      <c r="D231" s="41" t="s">
        <v>211</v>
      </c>
      <c r="E231" s="58"/>
      <c r="F231" s="58"/>
      <c r="G231" s="58"/>
      <c r="H231" s="58"/>
      <c r="I231" s="58"/>
      <c r="J231" s="61">
        <f t="shared" si="322"/>
        <v>0</v>
      </c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>
        <f t="shared" si="301"/>
        <v>0</v>
      </c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>
        <f t="shared" si="299"/>
        <v>0</v>
      </c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>
        <f t="shared" si="300"/>
        <v>0</v>
      </c>
      <c r="AX231" s="35">
        <f t="shared" si="316"/>
        <v>0</v>
      </c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>
        <f t="shared" si="302"/>
        <v>0</v>
      </c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>
        <f t="shared" si="303"/>
        <v>0</v>
      </c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>
        <f t="shared" si="292"/>
        <v>0</v>
      </c>
      <c r="CL231" s="35">
        <f t="shared" si="293"/>
        <v>0</v>
      </c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>
        <f t="shared" si="317"/>
        <v>0</v>
      </c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>
        <f t="shared" si="294"/>
        <v>0</v>
      </c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>
        <f t="shared" si="318"/>
        <v>0</v>
      </c>
      <c r="DZ231" s="35">
        <f t="shared" si="295"/>
        <v>0</v>
      </c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>
        <f t="shared" si="319"/>
        <v>0</v>
      </c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>
        <f t="shared" si="296"/>
        <v>0</v>
      </c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>
        <f t="shared" si="320"/>
        <v>0</v>
      </c>
      <c r="FN231" s="35">
        <f t="shared" si="297"/>
        <v>0</v>
      </c>
      <c r="FO231" s="35">
        <f t="shared" si="321"/>
        <v>0</v>
      </c>
    </row>
    <row r="232" spans="1:171" x14ac:dyDescent="0.35">
      <c r="A232" s="34"/>
      <c r="B232" s="40"/>
      <c r="C232" s="58"/>
      <c r="D232" s="41" t="s">
        <v>212</v>
      </c>
      <c r="E232" s="58"/>
      <c r="F232" s="58"/>
      <c r="G232" s="58"/>
      <c r="H232" s="58"/>
      <c r="I232" s="58"/>
      <c r="J232" s="61">
        <f t="shared" si="322"/>
        <v>0</v>
      </c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>
        <f t="shared" si="301"/>
        <v>0</v>
      </c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>
        <f t="shared" si="299"/>
        <v>0</v>
      </c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>
        <f t="shared" si="300"/>
        <v>0</v>
      </c>
      <c r="AX232" s="35">
        <f t="shared" si="316"/>
        <v>0</v>
      </c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>
        <f t="shared" si="302"/>
        <v>0</v>
      </c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>
        <f t="shared" si="303"/>
        <v>0</v>
      </c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>
        <f t="shared" si="292"/>
        <v>0</v>
      </c>
      <c r="CL232" s="35">
        <f t="shared" si="293"/>
        <v>0</v>
      </c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>
        <f t="shared" si="317"/>
        <v>0</v>
      </c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>
        <f t="shared" si="294"/>
        <v>0</v>
      </c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>
        <f t="shared" si="318"/>
        <v>0</v>
      </c>
      <c r="DZ232" s="35">
        <f t="shared" si="295"/>
        <v>0</v>
      </c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>
        <f t="shared" si="319"/>
        <v>0</v>
      </c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>
        <f t="shared" si="296"/>
        <v>0</v>
      </c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>
        <f t="shared" si="320"/>
        <v>0</v>
      </c>
      <c r="FN232" s="35">
        <f t="shared" si="297"/>
        <v>0</v>
      </c>
      <c r="FO232" s="35">
        <f t="shared" si="321"/>
        <v>0</v>
      </c>
    </row>
    <row r="233" spans="1:171" x14ac:dyDescent="0.35">
      <c r="A233" s="34"/>
      <c r="B233" s="40"/>
      <c r="C233" s="58"/>
      <c r="D233" s="41" t="s">
        <v>213</v>
      </c>
      <c r="E233" s="58"/>
      <c r="F233" s="58"/>
      <c r="G233" s="58"/>
      <c r="H233" s="58"/>
      <c r="I233" s="58"/>
      <c r="J233" s="61">
        <f t="shared" si="322"/>
        <v>0</v>
      </c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>
        <f t="shared" si="301"/>
        <v>0</v>
      </c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>
        <f t="shared" si="299"/>
        <v>0</v>
      </c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>
        <f t="shared" si="300"/>
        <v>0</v>
      </c>
      <c r="AX233" s="35">
        <f t="shared" si="316"/>
        <v>0</v>
      </c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>
        <f t="shared" si="302"/>
        <v>0</v>
      </c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>
        <f t="shared" si="303"/>
        <v>0</v>
      </c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>
        <f t="shared" si="292"/>
        <v>0</v>
      </c>
      <c r="CL233" s="35">
        <f t="shared" si="293"/>
        <v>0</v>
      </c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>
        <f t="shared" si="317"/>
        <v>0</v>
      </c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>
        <f t="shared" si="294"/>
        <v>0</v>
      </c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>
        <f t="shared" si="318"/>
        <v>0</v>
      </c>
      <c r="DZ233" s="35">
        <f t="shared" si="295"/>
        <v>0</v>
      </c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>
        <f t="shared" si="319"/>
        <v>0</v>
      </c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>
        <f t="shared" si="296"/>
        <v>0</v>
      </c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>
        <f t="shared" si="320"/>
        <v>0</v>
      </c>
      <c r="FN233" s="35">
        <f t="shared" si="297"/>
        <v>0</v>
      </c>
      <c r="FO233" s="35">
        <f t="shared" si="321"/>
        <v>0</v>
      </c>
    </row>
    <row r="234" spans="1:171" x14ac:dyDescent="0.35">
      <c r="A234" s="34"/>
      <c r="B234" s="40"/>
      <c r="C234" s="58"/>
      <c r="D234" s="41" t="s">
        <v>214</v>
      </c>
      <c r="E234" s="58"/>
      <c r="F234" s="58"/>
      <c r="G234" s="58"/>
      <c r="H234" s="58"/>
      <c r="I234" s="58"/>
      <c r="J234" s="61">
        <f t="shared" si="322"/>
        <v>0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>
        <f t="shared" si="301"/>
        <v>0</v>
      </c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>
        <f t="shared" si="299"/>
        <v>0</v>
      </c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>
        <f t="shared" si="300"/>
        <v>0</v>
      </c>
      <c r="AX234" s="35">
        <f t="shared" si="316"/>
        <v>0</v>
      </c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>
        <f t="shared" si="302"/>
        <v>0</v>
      </c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>
        <f t="shared" si="303"/>
        <v>0</v>
      </c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>
        <f t="shared" si="292"/>
        <v>0</v>
      </c>
      <c r="CL234" s="35">
        <f t="shared" si="293"/>
        <v>0</v>
      </c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>
        <f t="shared" si="317"/>
        <v>0</v>
      </c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>
        <f t="shared" si="294"/>
        <v>0</v>
      </c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>
        <f t="shared" si="318"/>
        <v>0</v>
      </c>
      <c r="DZ234" s="35">
        <f t="shared" si="295"/>
        <v>0</v>
      </c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>
        <f t="shared" si="319"/>
        <v>0</v>
      </c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>
        <f t="shared" si="296"/>
        <v>0</v>
      </c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>
        <f t="shared" si="320"/>
        <v>0</v>
      </c>
      <c r="FN234" s="35">
        <f t="shared" si="297"/>
        <v>0</v>
      </c>
      <c r="FO234" s="35">
        <f t="shared" si="321"/>
        <v>0</v>
      </c>
    </row>
    <row r="235" spans="1:171" x14ac:dyDescent="0.35">
      <c r="A235" s="34"/>
      <c r="B235" s="40"/>
      <c r="C235" s="58"/>
      <c r="D235" s="41" t="s">
        <v>215</v>
      </c>
      <c r="E235" s="58"/>
      <c r="F235" s="58"/>
      <c r="G235" s="58"/>
      <c r="H235" s="58"/>
      <c r="I235" s="58"/>
      <c r="J235" s="61">
        <f t="shared" si="322"/>
        <v>0</v>
      </c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>
        <f t="shared" si="301"/>
        <v>0</v>
      </c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>
        <f t="shared" si="299"/>
        <v>0</v>
      </c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>
        <f t="shared" si="300"/>
        <v>0</v>
      </c>
      <c r="AX235" s="35">
        <f t="shared" si="316"/>
        <v>0</v>
      </c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>
        <f t="shared" si="302"/>
        <v>0</v>
      </c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>
        <f t="shared" si="303"/>
        <v>0</v>
      </c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>
        <f t="shared" si="292"/>
        <v>0</v>
      </c>
      <c r="CL235" s="35">
        <f t="shared" si="293"/>
        <v>0</v>
      </c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>
        <f t="shared" si="317"/>
        <v>0</v>
      </c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>
        <f t="shared" si="294"/>
        <v>0</v>
      </c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>
        <f t="shared" si="318"/>
        <v>0</v>
      </c>
      <c r="DZ235" s="35">
        <f t="shared" si="295"/>
        <v>0</v>
      </c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>
        <f t="shared" si="319"/>
        <v>0</v>
      </c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>
        <f t="shared" si="296"/>
        <v>0</v>
      </c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>
        <f t="shared" si="320"/>
        <v>0</v>
      </c>
      <c r="FN235" s="35">
        <f t="shared" si="297"/>
        <v>0</v>
      </c>
      <c r="FO235" s="35">
        <f t="shared" si="321"/>
        <v>0</v>
      </c>
    </row>
    <row r="236" spans="1:171" x14ac:dyDescent="0.35">
      <c r="A236" s="34"/>
      <c r="B236" s="40"/>
      <c r="C236" s="58"/>
      <c r="D236" s="41" t="s">
        <v>216</v>
      </c>
      <c r="E236" s="58"/>
      <c r="F236" s="58"/>
      <c r="G236" s="58"/>
      <c r="H236" s="58"/>
      <c r="I236" s="58"/>
      <c r="J236" s="61">
        <f t="shared" si="322"/>
        <v>0</v>
      </c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>
        <f t="shared" si="301"/>
        <v>0</v>
      </c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>
        <f t="shared" si="299"/>
        <v>0</v>
      </c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>
        <f t="shared" si="300"/>
        <v>0</v>
      </c>
      <c r="AX236" s="35">
        <f t="shared" si="316"/>
        <v>0</v>
      </c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>
        <f t="shared" si="302"/>
        <v>0</v>
      </c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>
        <f t="shared" si="303"/>
        <v>0</v>
      </c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>
        <f t="shared" si="292"/>
        <v>0</v>
      </c>
      <c r="CL236" s="35">
        <f t="shared" si="293"/>
        <v>0</v>
      </c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>
        <f t="shared" si="317"/>
        <v>0</v>
      </c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>
        <f t="shared" si="294"/>
        <v>0</v>
      </c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>
        <f t="shared" si="318"/>
        <v>0</v>
      </c>
      <c r="DZ236" s="35">
        <f t="shared" si="295"/>
        <v>0</v>
      </c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>
        <f t="shared" si="319"/>
        <v>0</v>
      </c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>
        <f t="shared" si="296"/>
        <v>0</v>
      </c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>
        <f t="shared" si="320"/>
        <v>0</v>
      </c>
      <c r="FN236" s="35">
        <f t="shared" si="297"/>
        <v>0</v>
      </c>
      <c r="FO236" s="35">
        <f t="shared" si="321"/>
        <v>0</v>
      </c>
    </row>
    <row r="237" spans="1:171" x14ac:dyDescent="0.35">
      <c r="A237" s="34"/>
      <c r="B237" s="40"/>
      <c r="C237" s="58"/>
      <c r="D237" s="41" t="s">
        <v>217</v>
      </c>
      <c r="E237" s="58"/>
      <c r="F237" s="58"/>
      <c r="G237" s="58"/>
      <c r="H237" s="58"/>
      <c r="I237" s="58"/>
      <c r="J237" s="61">
        <f t="shared" si="322"/>
        <v>0</v>
      </c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f t="shared" si="301"/>
        <v>0</v>
      </c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>
        <f t="shared" si="299"/>
        <v>0</v>
      </c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>
        <f t="shared" si="300"/>
        <v>0</v>
      </c>
      <c r="AX237" s="35">
        <f t="shared" si="316"/>
        <v>0</v>
      </c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>
        <f t="shared" si="302"/>
        <v>0</v>
      </c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>
        <f t="shared" si="303"/>
        <v>0</v>
      </c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>
        <f t="shared" si="292"/>
        <v>0</v>
      </c>
      <c r="CL237" s="35">
        <f t="shared" si="293"/>
        <v>0</v>
      </c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>
        <f t="shared" si="317"/>
        <v>0</v>
      </c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>
        <f t="shared" si="294"/>
        <v>0</v>
      </c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>
        <f t="shared" si="318"/>
        <v>0</v>
      </c>
      <c r="DZ237" s="35">
        <f t="shared" si="295"/>
        <v>0</v>
      </c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>
        <f t="shared" si="319"/>
        <v>0</v>
      </c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>
        <f t="shared" si="296"/>
        <v>0</v>
      </c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>
        <f t="shared" si="320"/>
        <v>0</v>
      </c>
      <c r="FN237" s="35">
        <f t="shared" si="297"/>
        <v>0</v>
      </c>
      <c r="FO237" s="35">
        <f t="shared" si="321"/>
        <v>0</v>
      </c>
    </row>
    <row r="238" spans="1:171" x14ac:dyDescent="0.35">
      <c r="A238" s="34"/>
      <c r="B238" s="40"/>
      <c r="C238" s="58"/>
      <c r="D238" s="41" t="s">
        <v>218</v>
      </c>
      <c r="E238" s="58"/>
      <c r="F238" s="58"/>
      <c r="G238" s="58"/>
      <c r="H238" s="58"/>
      <c r="I238" s="58"/>
      <c r="J238" s="61">
        <f t="shared" si="322"/>
        <v>0</v>
      </c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>
        <f t="shared" si="301"/>
        <v>0</v>
      </c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>
        <f t="shared" si="299"/>
        <v>0</v>
      </c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>
        <f t="shared" si="300"/>
        <v>0</v>
      </c>
      <c r="AX238" s="35">
        <f t="shared" si="316"/>
        <v>0</v>
      </c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>
        <f t="shared" si="302"/>
        <v>0</v>
      </c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>
        <f t="shared" si="303"/>
        <v>0</v>
      </c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>
        <f t="shared" si="292"/>
        <v>0</v>
      </c>
      <c r="CL238" s="35">
        <f t="shared" si="293"/>
        <v>0</v>
      </c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>
        <f t="shared" si="317"/>
        <v>0</v>
      </c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>
        <f t="shared" si="294"/>
        <v>0</v>
      </c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>
        <f t="shared" si="318"/>
        <v>0</v>
      </c>
      <c r="DZ238" s="35">
        <f t="shared" si="295"/>
        <v>0</v>
      </c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>
        <f t="shared" si="319"/>
        <v>0</v>
      </c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>
        <f t="shared" si="296"/>
        <v>0</v>
      </c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>
        <f t="shared" si="320"/>
        <v>0</v>
      </c>
      <c r="FN238" s="35">
        <f t="shared" si="297"/>
        <v>0</v>
      </c>
      <c r="FO238" s="35">
        <f t="shared" si="321"/>
        <v>0</v>
      </c>
    </row>
    <row r="239" spans="1:171" x14ac:dyDescent="0.35">
      <c r="A239" s="34"/>
      <c r="B239" s="40"/>
      <c r="C239" s="58"/>
      <c r="D239" s="41" t="s">
        <v>219</v>
      </c>
      <c r="E239" s="58"/>
      <c r="F239" s="58"/>
      <c r="G239" s="58"/>
      <c r="H239" s="58"/>
      <c r="I239" s="58"/>
      <c r="J239" s="61">
        <f t="shared" si="322"/>
        <v>0</v>
      </c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>
        <f t="shared" si="301"/>
        <v>0</v>
      </c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>
        <f t="shared" si="299"/>
        <v>0</v>
      </c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>
        <f t="shared" si="300"/>
        <v>0</v>
      </c>
      <c r="AX239" s="35">
        <f t="shared" si="316"/>
        <v>0</v>
      </c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>
        <f t="shared" si="302"/>
        <v>0</v>
      </c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>
        <f t="shared" si="303"/>
        <v>0</v>
      </c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>
        <f t="shared" si="292"/>
        <v>0</v>
      </c>
      <c r="CL239" s="35">
        <f t="shared" si="293"/>
        <v>0</v>
      </c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>
        <f t="shared" si="317"/>
        <v>0</v>
      </c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>
        <f t="shared" si="294"/>
        <v>0</v>
      </c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>
        <f t="shared" si="318"/>
        <v>0</v>
      </c>
      <c r="DZ239" s="35">
        <f t="shared" si="295"/>
        <v>0</v>
      </c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>
        <f t="shared" si="319"/>
        <v>0</v>
      </c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>
        <f t="shared" si="296"/>
        <v>0</v>
      </c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>
        <f t="shared" si="320"/>
        <v>0</v>
      </c>
      <c r="FN239" s="35">
        <f t="shared" si="297"/>
        <v>0</v>
      </c>
      <c r="FO239" s="35">
        <f t="shared" si="321"/>
        <v>0</v>
      </c>
    </row>
    <row r="240" spans="1:171" x14ac:dyDescent="0.35">
      <c r="A240" s="34"/>
      <c r="B240" s="40"/>
      <c r="C240" s="58"/>
      <c r="D240" s="41" t="s">
        <v>220</v>
      </c>
      <c r="E240" s="58"/>
      <c r="F240" s="58"/>
      <c r="G240" s="58"/>
      <c r="H240" s="58"/>
      <c r="I240" s="58"/>
      <c r="J240" s="61">
        <f t="shared" si="322"/>
        <v>0</v>
      </c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>
        <f t="shared" si="301"/>
        <v>0</v>
      </c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>
        <f t="shared" si="299"/>
        <v>0</v>
      </c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>
        <f t="shared" si="300"/>
        <v>0</v>
      </c>
      <c r="AX240" s="35">
        <f t="shared" si="316"/>
        <v>0</v>
      </c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>
        <f t="shared" si="302"/>
        <v>0</v>
      </c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>
        <f t="shared" si="303"/>
        <v>0</v>
      </c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>
        <f t="shared" si="292"/>
        <v>0</v>
      </c>
      <c r="CL240" s="35">
        <f t="shared" si="293"/>
        <v>0</v>
      </c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>
        <f t="shared" si="317"/>
        <v>0</v>
      </c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>
        <f t="shared" si="294"/>
        <v>0</v>
      </c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>
        <f t="shared" si="318"/>
        <v>0</v>
      </c>
      <c r="DZ240" s="35">
        <f t="shared" si="295"/>
        <v>0</v>
      </c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>
        <f t="shared" si="319"/>
        <v>0</v>
      </c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>
        <f t="shared" si="296"/>
        <v>0</v>
      </c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>
        <f t="shared" si="320"/>
        <v>0</v>
      </c>
      <c r="FN240" s="35">
        <f t="shared" si="297"/>
        <v>0</v>
      </c>
      <c r="FO240" s="35">
        <f t="shared" si="321"/>
        <v>0</v>
      </c>
    </row>
    <row r="241" spans="1:171" x14ac:dyDescent="0.35">
      <c r="A241" s="34"/>
      <c r="B241" s="40"/>
      <c r="C241" s="58"/>
      <c r="D241" s="41" t="s">
        <v>221</v>
      </c>
      <c r="E241" s="58"/>
      <c r="F241" s="58"/>
      <c r="G241" s="58"/>
      <c r="H241" s="58"/>
      <c r="I241" s="58"/>
      <c r="J241" s="61">
        <f t="shared" si="322"/>
        <v>0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>
        <f t="shared" si="301"/>
        <v>0</v>
      </c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>
        <f t="shared" si="299"/>
        <v>0</v>
      </c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>
        <f t="shared" si="300"/>
        <v>0</v>
      </c>
      <c r="AX241" s="35">
        <f t="shared" si="316"/>
        <v>0</v>
      </c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>
        <f t="shared" si="302"/>
        <v>0</v>
      </c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>
        <f t="shared" si="303"/>
        <v>0</v>
      </c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>
        <f t="shared" si="292"/>
        <v>0</v>
      </c>
      <c r="CL241" s="35">
        <f t="shared" si="293"/>
        <v>0</v>
      </c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>
        <f t="shared" si="317"/>
        <v>0</v>
      </c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>
        <f t="shared" si="294"/>
        <v>0</v>
      </c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>
        <f t="shared" si="318"/>
        <v>0</v>
      </c>
      <c r="DZ241" s="35">
        <f t="shared" si="295"/>
        <v>0</v>
      </c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>
        <f t="shared" si="319"/>
        <v>0</v>
      </c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>
        <f t="shared" si="296"/>
        <v>0</v>
      </c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>
        <f t="shared" si="320"/>
        <v>0</v>
      </c>
      <c r="FN241" s="35">
        <f t="shared" si="297"/>
        <v>0</v>
      </c>
      <c r="FO241" s="35">
        <f t="shared" si="321"/>
        <v>0</v>
      </c>
    </row>
    <row r="242" spans="1:171" x14ac:dyDescent="0.35">
      <c r="A242" s="34"/>
      <c r="B242" s="40"/>
      <c r="C242" s="58"/>
      <c r="D242" s="41" t="s">
        <v>222</v>
      </c>
      <c r="E242" s="58"/>
      <c r="F242" s="58"/>
      <c r="G242" s="58"/>
      <c r="H242" s="58"/>
      <c r="I242" s="58"/>
      <c r="J242" s="61">
        <f t="shared" si="322"/>
        <v>0</v>
      </c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f t="shared" si="301"/>
        <v>0</v>
      </c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>
        <f t="shared" si="299"/>
        <v>0</v>
      </c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>
        <f t="shared" ref="AW242:AW244" si="323">SUM(AK242:AV242)</f>
        <v>0</v>
      </c>
      <c r="AX242" s="35">
        <f t="shared" si="316"/>
        <v>0</v>
      </c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>
        <f t="shared" ref="BK242:BK243" si="324">SUM(AY242:BJ242)</f>
        <v>0</v>
      </c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>
        <f t="shared" ref="BX242:BX243" si="325">SUM(BL242:BW242)</f>
        <v>0</v>
      </c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>
        <f t="shared" ref="CK242:CK244" si="326">SUM(BY242:CJ242)</f>
        <v>0</v>
      </c>
      <c r="CL242" s="35">
        <f t="shared" si="293"/>
        <v>0</v>
      </c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>
        <f t="shared" si="317"/>
        <v>0</v>
      </c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>
        <f t="shared" si="294"/>
        <v>0</v>
      </c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>
        <f t="shared" si="318"/>
        <v>0</v>
      </c>
      <c r="DZ242" s="35">
        <f t="shared" si="295"/>
        <v>0</v>
      </c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>
        <f t="shared" si="319"/>
        <v>0</v>
      </c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>
        <f t="shared" si="296"/>
        <v>0</v>
      </c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>
        <f t="shared" si="320"/>
        <v>0</v>
      </c>
      <c r="FN242" s="35">
        <f t="shared" si="297"/>
        <v>0</v>
      </c>
      <c r="FO242" s="35">
        <f t="shared" si="321"/>
        <v>0</v>
      </c>
    </row>
    <row r="243" spans="1:171" x14ac:dyDescent="0.35">
      <c r="A243" s="34"/>
      <c r="B243" s="40"/>
      <c r="C243" s="58"/>
      <c r="D243" s="41"/>
      <c r="E243" s="58"/>
      <c r="F243" s="58"/>
      <c r="G243" s="58"/>
      <c r="H243" s="58"/>
      <c r="I243" s="58"/>
      <c r="J243" s="58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>
        <f t="shared" si="301"/>
        <v>0</v>
      </c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>
        <f t="shared" si="299"/>
        <v>0</v>
      </c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>
        <f t="shared" si="323"/>
        <v>0</v>
      </c>
      <c r="AX243" s="35">
        <f t="shared" si="316"/>
        <v>0</v>
      </c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>
        <f t="shared" si="324"/>
        <v>0</v>
      </c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>
        <f t="shared" si="325"/>
        <v>0</v>
      </c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>
        <f t="shared" si="326"/>
        <v>0</v>
      </c>
      <c r="CL243" s="35">
        <f t="shared" si="293"/>
        <v>0</v>
      </c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>
        <f t="shared" si="317"/>
        <v>0</v>
      </c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>
        <f t="shared" si="294"/>
        <v>0</v>
      </c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>
        <f t="shared" si="318"/>
        <v>0</v>
      </c>
      <c r="DZ243" s="35">
        <f t="shared" si="295"/>
        <v>0</v>
      </c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>
        <f t="shared" si="319"/>
        <v>0</v>
      </c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>
        <f t="shared" si="296"/>
        <v>0</v>
      </c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>
        <f t="shared" si="320"/>
        <v>0</v>
      </c>
      <c r="FN243" s="35">
        <f t="shared" si="297"/>
        <v>0</v>
      </c>
      <c r="FO243" s="35">
        <f t="shared" si="321"/>
        <v>0</v>
      </c>
    </row>
    <row r="244" spans="1:171" x14ac:dyDescent="0.35">
      <c r="A244" s="48"/>
      <c r="B244" s="49" t="s">
        <v>27</v>
      </c>
      <c r="C244" s="59"/>
      <c r="D244" s="50"/>
      <c r="E244" s="59"/>
      <c r="F244" s="59"/>
      <c r="G244" s="59"/>
      <c r="H244" s="59"/>
      <c r="I244" s="59"/>
      <c r="J244" s="51">
        <f>SUM(J226:J243)</f>
        <v>29493.33</v>
      </c>
      <c r="K244" s="51">
        <f>SUM(K226:K243)</f>
        <v>11200</v>
      </c>
      <c r="L244" s="51">
        <f t="shared" ref="L244:R244" si="327">SUM(L226:L243)</f>
        <v>0</v>
      </c>
      <c r="M244" s="51">
        <f t="shared" si="327"/>
        <v>0</v>
      </c>
      <c r="N244" s="51">
        <f t="shared" si="327"/>
        <v>0</v>
      </c>
      <c r="O244" s="51">
        <f t="shared" si="327"/>
        <v>0</v>
      </c>
      <c r="P244" s="51">
        <f t="shared" si="327"/>
        <v>0</v>
      </c>
      <c r="Q244" s="51">
        <f t="shared" si="327"/>
        <v>0</v>
      </c>
      <c r="R244" s="51">
        <f t="shared" si="327"/>
        <v>0</v>
      </c>
      <c r="S244" s="51">
        <f>SUM(S226:S243)</f>
        <v>0</v>
      </c>
      <c r="T244" s="51">
        <f t="shared" ref="T244:V244" si="328">SUM(T226:T243)</f>
        <v>0</v>
      </c>
      <c r="U244" s="51">
        <f t="shared" si="328"/>
        <v>0</v>
      </c>
      <c r="V244" s="51">
        <f t="shared" si="328"/>
        <v>0</v>
      </c>
      <c r="W244" s="51">
        <f t="shared" si="301"/>
        <v>11200</v>
      </c>
      <c r="X244" s="51">
        <f>SUM(X226:X243)</f>
        <v>11200</v>
      </c>
      <c r="Y244" s="51">
        <f t="shared" ref="Y244:AI244" si="329">SUM(Y226:Y243)</f>
        <v>0</v>
      </c>
      <c r="Z244" s="51">
        <f t="shared" si="329"/>
        <v>0</v>
      </c>
      <c r="AA244" s="51">
        <f t="shared" si="329"/>
        <v>0</v>
      </c>
      <c r="AB244" s="51">
        <f t="shared" si="329"/>
        <v>0</v>
      </c>
      <c r="AC244" s="51">
        <f t="shared" si="329"/>
        <v>0</v>
      </c>
      <c r="AD244" s="51">
        <f t="shared" si="329"/>
        <v>0</v>
      </c>
      <c r="AE244" s="51">
        <f t="shared" si="329"/>
        <v>0</v>
      </c>
      <c r="AF244" s="51">
        <f t="shared" si="329"/>
        <v>0</v>
      </c>
      <c r="AG244" s="51">
        <f t="shared" si="329"/>
        <v>0</v>
      </c>
      <c r="AH244" s="51">
        <f t="shared" si="329"/>
        <v>0</v>
      </c>
      <c r="AI244" s="51">
        <f t="shared" si="329"/>
        <v>0</v>
      </c>
      <c r="AJ244" s="51">
        <f t="shared" si="299"/>
        <v>11200</v>
      </c>
      <c r="AK244" s="51">
        <f>SUM(AK226:AK243)</f>
        <v>11200</v>
      </c>
      <c r="AL244" s="51">
        <f t="shared" ref="AL244:AV244" si="330">SUM(AL226:AL243)</f>
        <v>0</v>
      </c>
      <c r="AM244" s="51">
        <f t="shared" si="330"/>
        <v>0</v>
      </c>
      <c r="AN244" s="51">
        <f t="shared" si="330"/>
        <v>0</v>
      </c>
      <c r="AO244" s="51">
        <f t="shared" si="330"/>
        <v>0</v>
      </c>
      <c r="AP244" s="51">
        <f t="shared" si="330"/>
        <v>0</v>
      </c>
      <c r="AQ244" s="51">
        <f t="shared" si="330"/>
        <v>0</v>
      </c>
      <c r="AR244" s="51">
        <f t="shared" si="330"/>
        <v>0</v>
      </c>
      <c r="AS244" s="51">
        <f t="shared" si="330"/>
        <v>0</v>
      </c>
      <c r="AT244" s="51">
        <f t="shared" si="330"/>
        <v>0</v>
      </c>
      <c r="AU244" s="51">
        <f t="shared" si="330"/>
        <v>0</v>
      </c>
      <c r="AV244" s="51">
        <f t="shared" si="330"/>
        <v>0</v>
      </c>
      <c r="AW244" s="51">
        <f t="shared" si="323"/>
        <v>11200</v>
      </c>
      <c r="AX244" s="51">
        <f t="shared" si="316"/>
        <v>33600</v>
      </c>
      <c r="AY244" s="51">
        <f>SUM(AY226:AY243)</f>
        <v>11200</v>
      </c>
      <c r="AZ244" s="51">
        <f t="shared" ref="AZ244:BJ244" si="331">SUM(AZ226:AZ243)</f>
        <v>0</v>
      </c>
      <c r="BA244" s="51">
        <f t="shared" si="331"/>
        <v>0</v>
      </c>
      <c r="BB244" s="51">
        <f t="shared" si="331"/>
        <v>0</v>
      </c>
      <c r="BC244" s="51">
        <f t="shared" si="331"/>
        <v>0</v>
      </c>
      <c r="BD244" s="51">
        <f t="shared" si="331"/>
        <v>0</v>
      </c>
      <c r="BE244" s="51">
        <f t="shared" si="331"/>
        <v>0</v>
      </c>
      <c r="BF244" s="51">
        <f t="shared" si="331"/>
        <v>0</v>
      </c>
      <c r="BG244" s="51">
        <f t="shared" si="331"/>
        <v>0</v>
      </c>
      <c r="BH244" s="51">
        <f t="shared" si="331"/>
        <v>0</v>
      </c>
      <c r="BI244" s="51">
        <f t="shared" si="331"/>
        <v>0</v>
      </c>
      <c r="BJ244" s="51">
        <f t="shared" si="331"/>
        <v>0</v>
      </c>
      <c r="BK244" s="51">
        <f>SUM(AY244:BJ244)</f>
        <v>11200</v>
      </c>
      <c r="BL244" s="51">
        <f>SUM(BL226:BL243)</f>
        <v>11200</v>
      </c>
      <c r="BM244" s="51">
        <f t="shared" ref="BM244:BW244" si="332">SUM(BM226:BM243)</f>
        <v>0</v>
      </c>
      <c r="BN244" s="51">
        <f t="shared" si="332"/>
        <v>0</v>
      </c>
      <c r="BO244" s="51">
        <f t="shared" si="332"/>
        <v>0</v>
      </c>
      <c r="BP244" s="51">
        <f t="shared" si="332"/>
        <v>0</v>
      </c>
      <c r="BQ244" s="51">
        <f t="shared" si="332"/>
        <v>0</v>
      </c>
      <c r="BR244" s="51">
        <f t="shared" si="332"/>
        <v>0</v>
      </c>
      <c r="BS244" s="51">
        <f t="shared" si="332"/>
        <v>0</v>
      </c>
      <c r="BT244" s="51">
        <f t="shared" si="332"/>
        <v>0</v>
      </c>
      <c r="BU244" s="51">
        <f t="shared" si="332"/>
        <v>0</v>
      </c>
      <c r="BV244" s="51">
        <f t="shared" si="332"/>
        <v>0</v>
      </c>
      <c r="BW244" s="51">
        <f t="shared" si="332"/>
        <v>0</v>
      </c>
      <c r="BX244" s="51">
        <f>SUM(BL244:BW244)</f>
        <v>11200</v>
      </c>
      <c r="BY244" s="51">
        <f>SUM(BY226:BY243)</f>
        <v>74293.33</v>
      </c>
      <c r="BZ244" s="51">
        <f t="shared" ref="BZ244:CJ244" si="333">SUM(BZ226:BZ243)</f>
        <v>0</v>
      </c>
      <c r="CA244" s="51">
        <f t="shared" si="333"/>
        <v>0</v>
      </c>
      <c r="CB244" s="51">
        <f t="shared" si="333"/>
        <v>0</v>
      </c>
      <c r="CC244" s="51">
        <f t="shared" si="333"/>
        <v>0</v>
      </c>
      <c r="CD244" s="51">
        <f t="shared" si="333"/>
        <v>0</v>
      </c>
      <c r="CE244" s="51">
        <f t="shared" si="333"/>
        <v>0</v>
      </c>
      <c r="CF244" s="51">
        <f t="shared" si="333"/>
        <v>0</v>
      </c>
      <c r="CG244" s="51">
        <f t="shared" si="333"/>
        <v>0</v>
      </c>
      <c r="CH244" s="51">
        <f t="shared" si="333"/>
        <v>0</v>
      </c>
      <c r="CI244" s="51">
        <f t="shared" si="333"/>
        <v>0</v>
      </c>
      <c r="CJ244" s="51">
        <f t="shared" si="333"/>
        <v>0</v>
      </c>
      <c r="CK244" s="51">
        <f t="shared" si="326"/>
        <v>74293.33</v>
      </c>
      <c r="CL244" s="51">
        <f>+BK244+BX244+CK244</f>
        <v>96693.33</v>
      </c>
      <c r="CM244" s="51">
        <f>SUM(CM226:CM243)</f>
        <v>11200</v>
      </c>
      <c r="CN244" s="51">
        <f t="shared" ref="CN244:CX244" si="334">SUM(CN226:CN243)</f>
        <v>0</v>
      </c>
      <c r="CO244" s="51">
        <f t="shared" si="334"/>
        <v>0</v>
      </c>
      <c r="CP244" s="51">
        <f t="shared" si="334"/>
        <v>0</v>
      </c>
      <c r="CQ244" s="51">
        <f t="shared" si="334"/>
        <v>0</v>
      </c>
      <c r="CR244" s="51">
        <f t="shared" si="334"/>
        <v>0</v>
      </c>
      <c r="CS244" s="51">
        <f t="shared" si="334"/>
        <v>0</v>
      </c>
      <c r="CT244" s="51">
        <f t="shared" si="334"/>
        <v>0</v>
      </c>
      <c r="CU244" s="51">
        <f t="shared" si="334"/>
        <v>0</v>
      </c>
      <c r="CV244" s="51">
        <f t="shared" si="334"/>
        <v>0</v>
      </c>
      <c r="CW244" s="51">
        <f t="shared" si="334"/>
        <v>0</v>
      </c>
      <c r="CX244" s="51">
        <f t="shared" si="334"/>
        <v>0</v>
      </c>
      <c r="CY244" s="51">
        <f>SUM(CM244:CX244)</f>
        <v>11200</v>
      </c>
      <c r="CZ244" s="51">
        <f>SUM(CZ226:CZ243)</f>
        <v>11200</v>
      </c>
      <c r="DA244" s="51">
        <f t="shared" ref="DA244:DK244" si="335">SUM(DA226:DA243)</f>
        <v>0</v>
      </c>
      <c r="DB244" s="51">
        <f t="shared" si="335"/>
        <v>0</v>
      </c>
      <c r="DC244" s="51">
        <f t="shared" si="335"/>
        <v>0</v>
      </c>
      <c r="DD244" s="51">
        <f t="shared" si="335"/>
        <v>0</v>
      </c>
      <c r="DE244" s="51">
        <f t="shared" si="335"/>
        <v>0</v>
      </c>
      <c r="DF244" s="51">
        <f t="shared" si="335"/>
        <v>0</v>
      </c>
      <c r="DG244" s="51">
        <f t="shared" si="335"/>
        <v>0</v>
      </c>
      <c r="DH244" s="51">
        <f t="shared" si="335"/>
        <v>0</v>
      </c>
      <c r="DI244" s="51">
        <f t="shared" si="335"/>
        <v>0</v>
      </c>
      <c r="DJ244" s="51">
        <f t="shared" si="335"/>
        <v>0</v>
      </c>
      <c r="DK244" s="51">
        <f t="shared" si="335"/>
        <v>0</v>
      </c>
      <c r="DL244" s="51">
        <f>SUM(CZ244:DK244)</f>
        <v>11200</v>
      </c>
      <c r="DM244" s="51">
        <f>SUM(DM226:DM243)</f>
        <v>11200</v>
      </c>
      <c r="DN244" s="51">
        <f t="shared" ref="DN244:DX244" si="336">SUM(DN226:DN243)</f>
        <v>0</v>
      </c>
      <c r="DO244" s="51">
        <f t="shared" si="336"/>
        <v>0</v>
      </c>
      <c r="DP244" s="51">
        <f t="shared" si="336"/>
        <v>0</v>
      </c>
      <c r="DQ244" s="51">
        <f t="shared" si="336"/>
        <v>0</v>
      </c>
      <c r="DR244" s="51">
        <f t="shared" si="336"/>
        <v>0</v>
      </c>
      <c r="DS244" s="51">
        <f t="shared" si="336"/>
        <v>0</v>
      </c>
      <c r="DT244" s="51">
        <f t="shared" si="336"/>
        <v>0</v>
      </c>
      <c r="DU244" s="51">
        <f t="shared" si="336"/>
        <v>0</v>
      </c>
      <c r="DV244" s="51">
        <f t="shared" si="336"/>
        <v>0</v>
      </c>
      <c r="DW244" s="51">
        <f t="shared" si="336"/>
        <v>0</v>
      </c>
      <c r="DX244" s="51">
        <f t="shared" si="336"/>
        <v>0</v>
      </c>
      <c r="DY244" s="51">
        <f t="shared" si="318"/>
        <v>11200</v>
      </c>
      <c r="DZ244" s="51">
        <f>+CY244+DL244+DY244</f>
        <v>33600</v>
      </c>
      <c r="EA244" s="51">
        <f>SUM(EA226:EA243)</f>
        <v>11200</v>
      </c>
      <c r="EB244" s="51">
        <f t="shared" ref="EB244:EL244" si="337">SUM(EB226:EB243)</f>
        <v>0</v>
      </c>
      <c r="EC244" s="51">
        <f t="shared" si="337"/>
        <v>0</v>
      </c>
      <c r="ED244" s="51">
        <f t="shared" si="337"/>
        <v>0</v>
      </c>
      <c r="EE244" s="51">
        <f t="shared" si="337"/>
        <v>0</v>
      </c>
      <c r="EF244" s="51">
        <f t="shared" si="337"/>
        <v>0</v>
      </c>
      <c r="EG244" s="51">
        <f t="shared" si="337"/>
        <v>0</v>
      </c>
      <c r="EH244" s="51">
        <f t="shared" si="337"/>
        <v>0</v>
      </c>
      <c r="EI244" s="51">
        <f t="shared" si="337"/>
        <v>0</v>
      </c>
      <c r="EJ244" s="51">
        <f t="shared" si="337"/>
        <v>0</v>
      </c>
      <c r="EK244" s="51">
        <f t="shared" si="337"/>
        <v>0</v>
      </c>
      <c r="EL244" s="51">
        <f t="shared" si="337"/>
        <v>0</v>
      </c>
      <c r="EM244" s="51">
        <f>SUM(EA244:EL244)</f>
        <v>11200</v>
      </c>
      <c r="EN244" s="51">
        <f>SUM(EN226:EN243)</f>
        <v>11200</v>
      </c>
      <c r="EO244" s="51">
        <f t="shared" ref="EO244:EY244" si="338">SUM(EO226:EO243)</f>
        <v>0</v>
      </c>
      <c r="EP244" s="51">
        <f t="shared" si="338"/>
        <v>0</v>
      </c>
      <c r="EQ244" s="51">
        <f t="shared" si="338"/>
        <v>0</v>
      </c>
      <c r="ER244" s="51">
        <f t="shared" si="338"/>
        <v>0</v>
      </c>
      <c r="ES244" s="51">
        <f t="shared" si="338"/>
        <v>0</v>
      </c>
      <c r="ET244" s="51">
        <f t="shared" si="338"/>
        <v>0</v>
      </c>
      <c r="EU244" s="51">
        <f t="shared" si="338"/>
        <v>0</v>
      </c>
      <c r="EV244" s="51">
        <f t="shared" si="338"/>
        <v>0</v>
      </c>
      <c r="EW244" s="51">
        <f t="shared" si="338"/>
        <v>0</v>
      </c>
      <c r="EX244" s="51">
        <f t="shared" si="338"/>
        <v>0</v>
      </c>
      <c r="EY244" s="51">
        <f t="shared" si="338"/>
        <v>0</v>
      </c>
      <c r="EZ244" s="51">
        <f>SUM(EN244:EY244)</f>
        <v>11200</v>
      </c>
      <c r="FA244" s="51">
        <f>SUM(FA226:FA243)</f>
        <v>11200</v>
      </c>
      <c r="FB244" s="51">
        <f t="shared" ref="FB244:FL244" si="339">SUM(FB226:FB243)</f>
        <v>0</v>
      </c>
      <c r="FC244" s="51">
        <f t="shared" si="339"/>
        <v>0</v>
      </c>
      <c r="FD244" s="51">
        <f t="shared" si="339"/>
        <v>0</v>
      </c>
      <c r="FE244" s="51">
        <f t="shared" si="339"/>
        <v>0</v>
      </c>
      <c r="FF244" s="51">
        <f t="shared" si="339"/>
        <v>0</v>
      </c>
      <c r="FG244" s="51">
        <f t="shared" si="339"/>
        <v>0</v>
      </c>
      <c r="FH244" s="51">
        <f t="shared" si="339"/>
        <v>0</v>
      </c>
      <c r="FI244" s="51">
        <f t="shared" si="339"/>
        <v>0</v>
      </c>
      <c r="FJ244" s="51">
        <f t="shared" si="339"/>
        <v>0</v>
      </c>
      <c r="FK244" s="51">
        <f t="shared" si="339"/>
        <v>0</v>
      </c>
      <c r="FL244" s="51">
        <f t="shared" si="339"/>
        <v>0</v>
      </c>
      <c r="FM244" s="51">
        <f t="shared" si="320"/>
        <v>11200</v>
      </c>
      <c r="FN244" s="51">
        <f>+EM244+EZ244+FM244</f>
        <v>33600</v>
      </c>
      <c r="FO244" s="35">
        <f t="shared" si="321"/>
        <v>197493.33000000002</v>
      </c>
    </row>
    <row r="245" spans="1:171" ht="21.75" thickBot="1" x14ac:dyDescent="0.4">
      <c r="A245" s="42"/>
      <c r="B245" s="43"/>
      <c r="C245" s="60"/>
      <c r="D245" s="44"/>
      <c r="E245" s="60"/>
      <c r="F245" s="60"/>
      <c r="G245" s="60"/>
      <c r="H245" s="60"/>
      <c r="I245" s="60"/>
      <c r="J245" s="45">
        <f>+J202+J224+J244</f>
        <v>166241.72000000003</v>
      </c>
      <c r="K245" s="45">
        <f>+K202+K224+K244</f>
        <v>33600</v>
      </c>
      <c r="L245" s="45">
        <f t="shared" ref="L245:BW245" si="340">+L202+L224+L244</f>
        <v>0</v>
      </c>
      <c r="M245" s="45">
        <f t="shared" si="340"/>
        <v>0</v>
      </c>
      <c r="N245" s="45">
        <f t="shared" si="340"/>
        <v>0</v>
      </c>
      <c r="O245" s="45">
        <f t="shared" si="340"/>
        <v>0</v>
      </c>
      <c r="P245" s="45">
        <f t="shared" si="340"/>
        <v>0</v>
      </c>
      <c r="Q245" s="45">
        <f t="shared" si="340"/>
        <v>39200</v>
      </c>
      <c r="R245" s="45">
        <f t="shared" si="340"/>
        <v>0</v>
      </c>
      <c r="S245" s="45">
        <f t="shared" si="340"/>
        <v>0</v>
      </c>
      <c r="T245" s="45">
        <f t="shared" si="340"/>
        <v>0</v>
      </c>
      <c r="U245" s="45">
        <f t="shared" si="340"/>
        <v>0</v>
      </c>
      <c r="V245" s="45">
        <f t="shared" si="340"/>
        <v>0</v>
      </c>
      <c r="W245" s="45">
        <f t="shared" si="340"/>
        <v>72800</v>
      </c>
      <c r="X245" s="45">
        <f t="shared" si="340"/>
        <v>33600</v>
      </c>
      <c r="Y245" s="45">
        <f t="shared" si="340"/>
        <v>0</v>
      </c>
      <c r="Z245" s="45">
        <f t="shared" si="340"/>
        <v>0</v>
      </c>
      <c r="AA245" s="45">
        <f t="shared" si="340"/>
        <v>0</v>
      </c>
      <c r="AB245" s="45">
        <f t="shared" si="340"/>
        <v>0</v>
      </c>
      <c r="AC245" s="45">
        <f t="shared" si="340"/>
        <v>0</v>
      </c>
      <c r="AD245" s="45">
        <f t="shared" si="340"/>
        <v>39200</v>
      </c>
      <c r="AE245" s="45">
        <f t="shared" si="340"/>
        <v>0</v>
      </c>
      <c r="AF245" s="45">
        <f t="shared" si="340"/>
        <v>0</v>
      </c>
      <c r="AG245" s="45">
        <f t="shared" si="340"/>
        <v>0</v>
      </c>
      <c r="AH245" s="45">
        <f t="shared" si="340"/>
        <v>0</v>
      </c>
      <c r="AI245" s="45">
        <f t="shared" si="340"/>
        <v>0</v>
      </c>
      <c r="AJ245" s="45">
        <f t="shared" si="340"/>
        <v>72800</v>
      </c>
      <c r="AK245" s="45">
        <f t="shared" si="340"/>
        <v>33600</v>
      </c>
      <c r="AL245" s="45">
        <f t="shared" si="340"/>
        <v>0</v>
      </c>
      <c r="AM245" s="45">
        <f t="shared" si="340"/>
        <v>0</v>
      </c>
      <c r="AN245" s="45">
        <f t="shared" si="340"/>
        <v>0</v>
      </c>
      <c r="AO245" s="45">
        <f t="shared" si="340"/>
        <v>0</v>
      </c>
      <c r="AP245" s="45">
        <f t="shared" si="340"/>
        <v>0</v>
      </c>
      <c r="AQ245" s="45">
        <f t="shared" si="340"/>
        <v>39200</v>
      </c>
      <c r="AR245" s="45">
        <f t="shared" si="340"/>
        <v>0</v>
      </c>
      <c r="AS245" s="45">
        <f t="shared" si="340"/>
        <v>0</v>
      </c>
      <c r="AT245" s="45">
        <f t="shared" si="340"/>
        <v>0</v>
      </c>
      <c r="AU245" s="45">
        <f t="shared" si="340"/>
        <v>0</v>
      </c>
      <c r="AV245" s="45">
        <f t="shared" si="340"/>
        <v>0</v>
      </c>
      <c r="AW245" s="45">
        <f t="shared" si="340"/>
        <v>72800</v>
      </c>
      <c r="AX245" s="45">
        <f t="shared" si="340"/>
        <v>218400</v>
      </c>
      <c r="AY245" s="45">
        <f t="shared" si="340"/>
        <v>33600</v>
      </c>
      <c r="AZ245" s="45">
        <f t="shared" si="340"/>
        <v>0</v>
      </c>
      <c r="BA245" s="45">
        <f t="shared" si="340"/>
        <v>0</v>
      </c>
      <c r="BB245" s="45">
        <f t="shared" si="340"/>
        <v>0</v>
      </c>
      <c r="BC245" s="45">
        <f t="shared" si="340"/>
        <v>0</v>
      </c>
      <c r="BD245" s="45">
        <f t="shared" si="340"/>
        <v>0</v>
      </c>
      <c r="BE245" s="45">
        <f t="shared" si="340"/>
        <v>39200</v>
      </c>
      <c r="BF245" s="45">
        <f t="shared" si="340"/>
        <v>0</v>
      </c>
      <c r="BG245" s="45">
        <f t="shared" si="340"/>
        <v>0</v>
      </c>
      <c r="BH245" s="45">
        <f t="shared" si="340"/>
        <v>0</v>
      </c>
      <c r="BI245" s="45">
        <f t="shared" si="340"/>
        <v>0</v>
      </c>
      <c r="BJ245" s="45">
        <f t="shared" si="340"/>
        <v>0</v>
      </c>
      <c r="BK245" s="45">
        <f t="shared" si="340"/>
        <v>72800</v>
      </c>
      <c r="BL245" s="45">
        <f t="shared" si="340"/>
        <v>33600</v>
      </c>
      <c r="BM245" s="45">
        <f t="shared" si="340"/>
        <v>0</v>
      </c>
      <c r="BN245" s="45">
        <f t="shared" si="340"/>
        <v>0</v>
      </c>
      <c r="BO245" s="45">
        <f t="shared" si="340"/>
        <v>0</v>
      </c>
      <c r="BP245" s="45">
        <f t="shared" si="340"/>
        <v>0</v>
      </c>
      <c r="BQ245" s="45">
        <f t="shared" si="340"/>
        <v>0</v>
      </c>
      <c r="BR245" s="45">
        <f t="shared" si="340"/>
        <v>39200</v>
      </c>
      <c r="BS245" s="45">
        <f t="shared" si="340"/>
        <v>0</v>
      </c>
      <c r="BT245" s="45">
        <f t="shared" si="340"/>
        <v>0</v>
      </c>
      <c r="BU245" s="45">
        <f t="shared" si="340"/>
        <v>0</v>
      </c>
      <c r="BV245" s="45">
        <f t="shared" si="340"/>
        <v>0</v>
      </c>
      <c r="BW245" s="45">
        <f t="shared" si="340"/>
        <v>0</v>
      </c>
      <c r="BX245" s="45">
        <f t="shared" ref="BX245:EI245" si="341">+BX202+BX224+BX244</f>
        <v>72800</v>
      </c>
      <c r="BY245" s="45">
        <f t="shared" si="341"/>
        <v>96693.33</v>
      </c>
      <c r="BZ245" s="45">
        <f t="shared" si="341"/>
        <v>0</v>
      </c>
      <c r="CA245" s="45">
        <f t="shared" si="341"/>
        <v>0</v>
      </c>
      <c r="CB245" s="45">
        <f t="shared" si="341"/>
        <v>0</v>
      </c>
      <c r="CC245" s="45">
        <f t="shared" si="341"/>
        <v>0</v>
      </c>
      <c r="CD245" s="45">
        <f t="shared" si="341"/>
        <v>0</v>
      </c>
      <c r="CE245" s="45">
        <f t="shared" si="341"/>
        <v>243148.39</v>
      </c>
      <c r="CF245" s="45">
        <f t="shared" si="341"/>
        <v>0</v>
      </c>
      <c r="CG245" s="45">
        <f t="shared" si="341"/>
        <v>0</v>
      </c>
      <c r="CH245" s="45">
        <f t="shared" si="341"/>
        <v>0</v>
      </c>
      <c r="CI245" s="45">
        <f t="shared" si="341"/>
        <v>0</v>
      </c>
      <c r="CJ245" s="45">
        <f t="shared" si="341"/>
        <v>0</v>
      </c>
      <c r="CK245" s="45">
        <f t="shared" si="341"/>
        <v>339841.72000000003</v>
      </c>
      <c r="CL245" s="45">
        <f t="shared" si="341"/>
        <v>485441.72000000003</v>
      </c>
      <c r="CM245" s="45">
        <f t="shared" si="341"/>
        <v>33600</v>
      </c>
      <c r="CN245" s="45">
        <f t="shared" si="341"/>
        <v>0</v>
      </c>
      <c r="CO245" s="45">
        <f t="shared" si="341"/>
        <v>0</v>
      </c>
      <c r="CP245" s="45">
        <f t="shared" si="341"/>
        <v>0</v>
      </c>
      <c r="CQ245" s="45">
        <f t="shared" si="341"/>
        <v>0</v>
      </c>
      <c r="CR245" s="45">
        <f t="shared" si="341"/>
        <v>0</v>
      </c>
      <c r="CS245" s="45">
        <f t="shared" si="341"/>
        <v>39200</v>
      </c>
      <c r="CT245" s="45">
        <f t="shared" si="341"/>
        <v>0</v>
      </c>
      <c r="CU245" s="45">
        <f t="shared" si="341"/>
        <v>0</v>
      </c>
      <c r="CV245" s="45">
        <f t="shared" si="341"/>
        <v>0</v>
      </c>
      <c r="CW245" s="45">
        <f t="shared" si="341"/>
        <v>0</v>
      </c>
      <c r="CX245" s="45">
        <f t="shared" si="341"/>
        <v>0</v>
      </c>
      <c r="CY245" s="45">
        <f t="shared" si="341"/>
        <v>72800</v>
      </c>
      <c r="CZ245" s="45">
        <f t="shared" si="341"/>
        <v>33600</v>
      </c>
      <c r="DA245" s="45">
        <f t="shared" si="341"/>
        <v>0</v>
      </c>
      <c r="DB245" s="45">
        <f t="shared" si="341"/>
        <v>0</v>
      </c>
      <c r="DC245" s="45">
        <f t="shared" si="341"/>
        <v>0</v>
      </c>
      <c r="DD245" s="45">
        <f t="shared" si="341"/>
        <v>0</v>
      </c>
      <c r="DE245" s="45">
        <f t="shared" si="341"/>
        <v>0</v>
      </c>
      <c r="DF245" s="45">
        <f t="shared" si="341"/>
        <v>39200</v>
      </c>
      <c r="DG245" s="45">
        <f t="shared" si="341"/>
        <v>0</v>
      </c>
      <c r="DH245" s="45">
        <f t="shared" si="341"/>
        <v>0</v>
      </c>
      <c r="DI245" s="45">
        <f t="shared" si="341"/>
        <v>0</v>
      </c>
      <c r="DJ245" s="45">
        <f t="shared" si="341"/>
        <v>0</v>
      </c>
      <c r="DK245" s="45">
        <f t="shared" si="341"/>
        <v>0</v>
      </c>
      <c r="DL245" s="45">
        <f t="shared" si="341"/>
        <v>72800</v>
      </c>
      <c r="DM245" s="45">
        <f t="shared" si="341"/>
        <v>33600</v>
      </c>
      <c r="DN245" s="45">
        <f t="shared" si="341"/>
        <v>0</v>
      </c>
      <c r="DO245" s="45">
        <f t="shared" si="341"/>
        <v>0</v>
      </c>
      <c r="DP245" s="45">
        <f t="shared" si="341"/>
        <v>0</v>
      </c>
      <c r="DQ245" s="45">
        <f t="shared" si="341"/>
        <v>0</v>
      </c>
      <c r="DR245" s="45">
        <f t="shared" si="341"/>
        <v>0</v>
      </c>
      <c r="DS245" s="45">
        <f t="shared" si="341"/>
        <v>39200</v>
      </c>
      <c r="DT245" s="45">
        <f t="shared" si="341"/>
        <v>0</v>
      </c>
      <c r="DU245" s="45">
        <f t="shared" si="341"/>
        <v>0</v>
      </c>
      <c r="DV245" s="45">
        <f t="shared" si="341"/>
        <v>0</v>
      </c>
      <c r="DW245" s="45">
        <f t="shared" si="341"/>
        <v>0</v>
      </c>
      <c r="DX245" s="45">
        <f t="shared" si="341"/>
        <v>0</v>
      </c>
      <c r="DY245" s="45">
        <f t="shared" si="341"/>
        <v>72800</v>
      </c>
      <c r="DZ245" s="45">
        <f t="shared" si="341"/>
        <v>218400</v>
      </c>
      <c r="EA245" s="45">
        <f t="shared" si="341"/>
        <v>33600</v>
      </c>
      <c r="EB245" s="45">
        <f t="shared" si="341"/>
        <v>0</v>
      </c>
      <c r="EC245" s="45">
        <f t="shared" si="341"/>
        <v>0</v>
      </c>
      <c r="ED245" s="45">
        <f t="shared" si="341"/>
        <v>0</v>
      </c>
      <c r="EE245" s="45">
        <f t="shared" si="341"/>
        <v>0</v>
      </c>
      <c r="EF245" s="45">
        <f t="shared" si="341"/>
        <v>0</v>
      </c>
      <c r="EG245" s="45">
        <f t="shared" si="341"/>
        <v>44800</v>
      </c>
      <c r="EH245" s="45">
        <f t="shared" si="341"/>
        <v>0</v>
      </c>
      <c r="EI245" s="45">
        <f t="shared" si="341"/>
        <v>0</v>
      </c>
      <c r="EJ245" s="45">
        <f t="shared" ref="EJ245:FO245" si="342">+EJ202+EJ224+EJ244</f>
        <v>0</v>
      </c>
      <c r="EK245" s="45">
        <f t="shared" si="342"/>
        <v>0</v>
      </c>
      <c r="EL245" s="45">
        <f t="shared" si="342"/>
        <v>0</v>
      </c>
      <c r="EM245" s="45">
        <f t="shared" si="342"/>
        <v>78400</v>
      </c>
      <c r="EN245" s="45">
        <f t="shared" si="342"/>
        <v>33600</v>
      </c>
      <c r="EO245" s="45">
        <f t="shared" si="342"/>
        <v>0</v>
      </c>
      <c r="EP245" s="45">
        <f t="shared" si="342"/>
        <v>0</v>
      </c>
      <c r="EQ245" s="45">
        <f t="shared" si="342"/>
        <v>0</v>
      </c>
      <c r="ER245" s="45">
        <f t="shared" si="342"/>
        <v>0</v>
      </c>
      <c r="ES245" s="45">
        <f t="shared" si="342"/>
        <v>0</v>
      </c>
      <c r="ET245" s="45">
        <f t="shared" si="342"/>
        <v>132412.9</v>
      </c>
      <c r="EU245" s="45">
        <f t="shared" si="342"/>
        <v>0</v>
      </c>
      <c r="EV245" s="45">
        <f t="shared" si="342"/>
        <v>0</v>
      </c>
      <c r="EW245" s="45">
        <f t="shared" si="342"/>
        <v>0</v>
      </c>
      <c r="EX245" s="45">
        <f t="shared" si="342"/>
        <v>0</v>
      </c>
      <c r="EY245" s="45">
        <f t="shared" si="342"/>
        <v>0</v>
      </c>
      <c r="EZ245" s="45">
        <f t="shared" si="342"/>
        <v>166012.9</v>
      </c>
      <c r="FA245" s="45">
        <f t="shared" si="342"/>
        <v>33600</v>
      </c>
      <c r="FB245" s="45">
        <f t="shared" si="342"/>
        <v>0</v>
      </c>
      <c r="FC245" s="45">
        <f t="shared" si="342"/>
        <v>0</v>
      </c>
      <c r="FD245" s="45">
        <f t="shared" si="342"/>
        <v>0</v>
      </c>
      <c r="FE245" s="45">
        <f t="shared" si="342"/>
        <v>0</v>
      </c>
      <c r="FF245" s="45">
        <f t="shared" si="342"/>
        <v>0</v>
      </c>
      <c r="FG245" s="45">
        <f t="shared" si="342"/>
        <v>44800</v>
      </c>
      <c r="FH245" s="45">
        <f t="shared" si="342"/>
        <v>0</v>
      </c>
      <c r="FI245" s="45">
        <f t="shared" si="342"/>
        <v>0</v>
      </c>
      <c r="FJ245" s="45">
        <f t="shared" si="342"/>
        <v>0</v>
      </c>
      <c r="FK245" s="45">
        <f t="shared" si="342"/>
        <v>0</v>
      </c>
      <c r="FL245" s="45">
        <f t="shared" si="342"/>
        <v>0</v>
      </c>
      <c r="FM245" s="45">
        <f t="shared" si="342"/>
        <v>78400</v>
      </c>
      <c r="FN245" s="45">
        <f t="shared" si="342"/>
        <v>322812.90000000002</v>
      </c>
      <c r="FO245" s="45">
        <f t="shared" si="342"/>
        <v>1245054.6200000001</v>
      </c>
    </row>
    <row r="246" spans="1:171" ht="21.75" thickTop="1" x14ac:dyDescent="0.35"/>
  </sheetData>
  <mergeCells count="170">
    <mergeCell ref="ET159:EV159"/>
    <mergeCell ref="EW159:EY159"/>
    <mergeCell ref="FA159:FC159"/>
    <mergeCell ref="FD159:FF159"/>
    <mergeCell ref="FG159:FI159"/>
    <mergeCell ref="FJ159:FL159"/>
    <mergeCell ref="EA159:EC159"/>
    <mergeCell ref="ED159:EF159"/>
    <mergeCell ref="EG159:EI159"/>
    <mergeCell ref="EJ159:EL159"/>
    <mergeCell ref="EN159:EP159"/>
    <mergeCell ref="EQ159:ES159"/>
    <mergeCell ref="DP159:DR159"/>
    <mergeCell ref="DS159:DU159"/>
    <mergeCell ref="DV159:DX159"/>
    <mergeCell ref="CM159:CO159"/>
    <mergeCell ref="CP159:CR159"/>
    <mergeCell ref="CS159:CU159"/>
    <mergeCell ref="CV159:CX159"/>
    <mergeCell ref="CZ159:DB159"/>
    <mergeCell ref="DC159:DE159"/>
    <mergeCell ref="AD159:AF159"/>
    <mergeCell ref="AG159:AI159"/>
    <mergeCell ref="AK159:AM159"/>
    <mergeCell ref="AN159:AP159"/>
    <mergeCell ref="AQ159:AS159"/>
    <mergeCell ref="AT159:AV159"/>
    <mergeCell ref="EN158:ES158"/>
    <mergeCell ref="ET158:EY158"/>
    <mergeCell ref="FA158:FF158"/>
    <mergeCell ref="BR159:BT159"/>
    <mergeCell ref="BU159:BW159"/>
    <mergeCell ref="BY159:CA159"/>
    <mergeCell ref="CB159:CD159"/>
    <mergeCell ref="CE159:CG159"/>
    <mergeCell ref="CH159:CJ159"/>
    <mergeCell ref="AY159:BA159"/>
    <mergeCell ref="BB159:BD159"/>
    <mergeCell ref="BE159:BG159"/>
    <mergeCell ref="BH159:BJ159"/>
    <mergeCell ref="BL159:BN159"/>
    <mergeCell ref="BO159:BQ159"/>
    <mergeCell ref="DF159:DH159"/>
    <mergeCell ref="DI159:DK159"/>
    <mergeCell ref="DM159:DO159"/>
    <mergeCell ref="DF158:DK158"/>
    <mergeCell ref="DM158:DR158"/>
    <mergeCell ref="DS158:DX158"/>
    <mergeCell ref="EA158:EF158"/>
    <mergeCell ref="EG158:EL158"/>
    <mergeCell ref="BL158:BQ158"/>
    <mergeCell ref="BR158:BW158"/>
    <mergeCell ref="BY158:CD158"/>
    <mergeCell ref="CE158:CJ158"/>
    <mergeCell ref="CM158:CR158"/>
    <mergeCell ref="CS158:CX158"/>
    <mergeCell ref="FA157:FM157"/>
    <mergeCell ref="FO157:FO159"/>
    <mergeCell ref="K158:P158"/>
    <mergeCell ref="Q158:V158"/>
    <mergeCell ref="X158:AC158"/>
    <mergeCell ref="AD158:AI158"/>
    <mergeCell ref="AK158:AP158"/>
    <mergeCell ref="AQ158:AV158"/>
    <mergeCell ref="AY158:BD158"/>
    <mergeCell ref="BE158:BJ158"/>
    <mergeCell ref="BY157:CK157"/>
    <mergeCell ref="CM157:CY157"/>
    <mergeCell ref="CZ157:DL157"/>
    <mergeCell ref="DM157:DY157"/>
    <mergeCell ref="EA157:EM157"/>
    <mergeCell ref="EN157:EZ157"/>
    <mergeCell ref="FG158:FL158"/>
    <mergeCell ref="K159:M159"/>
    <mergeCell ref="N159:P159"/>
    <mergeCell ref="Q159:S159"/>
    <mergeCell ref="T159:V159"/>
    <mergeCell ref="X159:Z159"/>
    <mergeCell ref="AA159:AC159"/>
    <mergeCell ref="CZ158:DE158"/>
    <mergeCell ref="EW3:EY3"/>
    <mergeCell ref="FA3:FC3"/>
    <mergeCell ref="FD3:FF3"/>
    <mergeCell ref="FG3:FI3"/>
    <mergeCell ref="FJ3:FL3"/>
    <mergeCell ref="K157:W157"/>
    <mergeCell ref="X157:AJ157"/>
    <mergeCell ref="AK157:AW157"/>
    <mergeCell ref="AY157:BK157"/>
    <mergeCell ref="BL157:BX157"/>
    <mergeCell ref="ED3:EF3"/>
    <mergeCell ref="EG3:EI3"/>
    <mergeCell ref="EJ3:EL3"/>
    <mergeCell ref="EN3:EP3"/>
    <mergeCell ref="EQ3:ES3"/>
    <mergeCell ref="ET3:EV3"/>
    <mergeCell ref="DI3:DK3"/>
    <mergeCell ref="DM3:DO3"/>
    <mergeCell ref="DP3:DR3"/>
    <mergeCell ref="DS3:DU3"/>
    <mergeCell ref="DV3:DX3"/>
    <mergeCell ref="EA3:EC3"/>
    <mergeCell ref="CP3:CR3"/>
    <mergeCell ref="CS3:CU3"/>
    <mergeCell ref="CZ3:DB3"/>
    <mergeCell ref="DC3:DE3"/>
    <mergeCell ref="DF3:DH3"/>
    <mergeCell ref="BU3:BW3"/>
    <mergeCell ref="BY3:CA3"/>
    <mergeCell ref="CB3:CD3"/>
    <mergeCell ref="CE3:CG3"/>
    <mergeCell ref="CH3:CJ3"/>
    <mergeCell ref="CM3:CO3"/>
    <mergeCell ref="BO3:BQ3"/>
    <mergeCell ref="BR3:BT3"/>
    <mergeCell ref="AG3:AI3"/>
    <mergeCell ref="AK3:AM3"/>
    <mergeCell ref="AN3:AP3"/>
    <mergeCell ref="AQ3:AS3"/>
    <mergeCell ref="AT3:AV3"/>
    <mergeCell ref="AY3:BA3"/>
    <mergeCell ref="CV3:CX3"/>
    <mergeCell ref="FG2:FL2"/>
    <mergeCell ref="K3:M3"/>
    <mergeCell ref="N3:P3"/>
    <mergeCell ref="Q3:S3"/>
    <mergeCell ref="T3:V3"/>
    <mergeCell ref="X3:Z3"/>
    <mergeCell ref="AA3:AC3"/>
    <mergeCell ref="AD3:AF3"/>
    <mergeCell ref="DF2:DK2"/>
    <mergeCell ref="DM2:DR2"/>
    <mergeCell ref="DS2:DX2"/>
    <mergeCell ref="EA2:EF2"/>
    <mergeCell ref="EG2:EL2"/>
    <mergeCell ref="EN2:ES2"/>
    <mergeCell ref="BR2:BW2"/>
    <mergeCell ref="BY2:CD2"/>
    <mergeCell ref="CE2:CJ2"/>
    <mergeCell ref="CM2:CR2"/>
    <mergeCell ref="CS2:CX2"/>
    <mergeCell ref="CZ2:DE2"/>
    <mergeCell ref="BB3:BD3"/>
    <mergeCell ref="BE3:BG3"/>
    <mergeCell ref="BH3:BJ3"/>
    <mergeCell ref="BL3:BN3"/>
    <mergeCell ref="FO1:FO3"/>
    <mergeCell ref="K2:P2"/>
    <mergeCell ref="Q2:V2"/>
    <mergeCell ref="X2:AC2"/>
    <mergeCell ref="AD2:AI2"/>
    <mergeCell ref="AK2:AP2"/>
    <mergeCell ref="AQ2:AV2"/>
    <mergeCell ref="AY2:BD2"/>
    <mergeCell ref="BE2:BJ2"/>
    <mergeCell ref="BL2:BQ2"/>
    <mergeCell ref="CM1:CY1"/>
    <mergeCell ref="CZ1:DL1"/>
    <mergeCell ref="DM1:DY1"/>
    <mergeCell ref="EA1:EM1"/>
    <mergeCell ref="EN1:EZ1"/>
    <mergeCell ref="FA1:FM1"/>
    <mergeCell ref="K1:W1"/>
    <mergeCell ref="X1:AJ1"/>
    <mergeCell ref="AK1:AW1"/>
    <mergeCell ref="AY1:BK1"/>
    <mergeCell ref="BL1:BX1"/>
    <mergeCell ref="BY1:CK1"/>
    <mergeCell ref="ET2:EY2"/>
    <mergeCell ref="FA2:FF2"/>
  </mergeCells>
  <pageMargins left="0.25" right="0.25" top="0.75" bottom="0.75" header="0.3" footer="0.3"/>
  <pageSetup paperSize="9" scale="65" orientation="landscape" horizontalDpi="4294967295" verticalDpi="4294967295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H241"/>
  <sheetViews>
    <sheetView zoomScale="70" zoomScaleNormal="70" workbookViewId="0">
      <pane xSplit="3" ySplit="5" topLeftCell="EV63" activePane="bottomRight" state="frozen"/>
      <selection activeCell="C3" sqref="C3"/>
      <selection pane="topRight" activeCell="C3" sqref="C3"/>
      <selection pane="bottomLeft" activeCell="C3" sqref="C3"/>
      <selection pane="bottomRight" activeCell="C3" sqref="C3"/>
    </sheetView>
  </sheetViews>
  <sheetFormatPr defaultColWidth="9.125" defaultRowHeight="21" x14ac:dyDescent="0.35"/>
  <cols>
    <col min="1" max="1" width="6.25" style="1" customWidth="1"/>
    <col min="2" max="2" width="5.875" style="1" customWidth="1"/>
    <col min="3" max="3" width="29.875" style="1" customWidth="1"/>
    <col min="4" max="5" width="13.375" style="1" customWidth="1"/>
    <col min="6" max="6" width="12.375" style="1" bestFit="1" customWidth="1"/>
    <col min="7" max="7" width="13.875" style="1" bestFit="1" customWidth="1"/>
    <col min="8" max="8" width="13.25" style="1" customWidth="1"/>
    <col min="9" max="9" width="12.375" style="1" bestFit="1" customWidth="1"/>
    <col min="10" max="10" width="13" style="1" customWidth="1"/>
    <col min="11" max="11" width="13.625" style="1" customWidth="1"/>
    <col min="12" max="12" width="12.375" style="1" bestFit="1" customWidth="1"/>
    <col min="13" max="13" width="13.875" style="1" bestFit="1" customWidth="1"/>
    <col min="14" max="14" width="14.875" style="1" bestFit="1" customWidth="1"/>
    <col min="15" max="15" width="11.125" style="1" bestFit="1" customWidth="1"/>
    <col min="16" max="17" width="15.75" style="1" bestFit="1" customWidth="1"/>
    <col min="18" max="18" width="14.875" style="1" bestFit="1" customWidth="1"/>
    <col min="19" max="19" width="12.375" style="1" bestFit="1" customWidth="1"/>
    <col min="20" max="20" width="13.875" style="1" bestFit="1" customWidth="1"/>
    <col min="21" max="21" width="14.875" style="1" bestFit="1" customWidth="1"/>
    <col min="22" max="22" width="12.375" style="1" bestFit="1" customWidth="1"/>
    <col min="23" max="23" width="13.875" style="1" bestFit="1" customWidth="1"/>
    <col min="24" max="24" width="14.875" style="1" bestFit="1" customWidth="1"/>
    <col min="25" max="25" width="12.375" style="1" bestFit="1" customWidth="1"/>
    <col min="26" max="26" width="13.875" style="1" bestFit="1" customWidth="1"/>
    <col min="27" max="27" width="14.875" style="1" bestFit="1" customWidth="1"/>
    <col min="28" max="28" width="11.125" style="1" bestFit="1" customWidth="1"/>
    <col min="29" max="30" width="15.75" style="1" bestFit="1" customWidth="1"/>
    <col min="31" max="31" width="14.875" style="1" bestFit="1" customWidth="1"/>
    <col min="32" max="32" width="12.375" style="1" bestFit="1" customWidth="1"/>
    <col min="33" max="33" width="13.875" style="1" bestFit="1" customWidth="1"/>
    <col min="34" max="34" width="14.875" style="1" bestFit="1" customWidth="1"/>
    <col min="35" max="35" width="12.375" style="1" bestFit="1" customWidth="1"/>
    <col min="36" max="36" width="13.875" style="1" bestFit="1" customWidth="1"/>
    <col min="37" max="37" width="14.875" style="1" bestFit="1" customWidth="1"/>
    <col min="38" max="38" width="12.375" style="1" bestFit="1" customWidth="1"/>
    <col min="39" max="39" width="13.875" style="1" bestFit="1" customWidth="1"/>
    <col min="40" max="40" width="14.875" style="1" bestFit="1" customWidth="1"/>
    <col min="41" max="41" width="11.125" style="1" bestFit="1" customWidth="1"/>
    <col min="42" max="43" width="15.75" style="1" bestFit="1" customWidth="1"/>
    <col min="44" max="44" width="15.125" style="1" bestFit="1" customWidth="1"/>
    <col min="45" max="45" width="15.875" style="1" bestFit="1" customWidth="1"/>
    <col min="46" max="46" width="12.625" style="1" bestFit="1" customWidth="1"/>
    <col min="47" max="47" width="13.375" style="1" bestFit="1" customWidth="1"/>
    <col min="48" max="48" width="15.875" style="1" bestFit="1" customWidth="1"/>
    <col min="49" max="49" width="12.625" style="1" bestFit="1" customWidth="1"/>
    <col min="50" max="50" width="14" style="1" bestFit="1" customWidth="1"/>
    <col min="51" max="51" width="15.875" style="1" bestFit="1" customWidth="1"/>
    <col min="52" max="52" width="12.25" style="1" bestFit="1" customWidth="1"/>
    <col min="53" max="53" width="14" style="1" bestFit="1" customWidth="1"/>
    <col min="54" max="54" width="15.875" style="1" bestFit="1" customWidth="1"/>
    <col min="55" max="55" width="11.25" style="1" bestFit="1" customWidth="1"/>
    <col min="56" max="56" width="15.375" style="1" bestFit="1" customWidth="1"/>
    <col min="57" max="57" width="15.125" style="1" bestFit="1" customWidth="1"/>
    <col min="58" max="58" width="15.875" style="1" bestFit="1" customWidth="1"/>
    <col min="59" max="59" width="12.625" style="1" bestFit="1" customWidth="1"/>
    <col min="60" max="60" width="13.375" style="1" bestFit="1" customWidth="1"/>
    <col min="61" max="61" width="15.875" style="1" bestFit="1" customWidth="1"/>
    <col min="62" max="62" width="12.625" style="1" bestFit="1" customWidth="1"/>
    <col min="63" max="63" width="13.75" style="1" bestFit="1" customWidth="1"/>
    <col min="64" max="64" width="15.875" style="1" bestFit="1" customWidth="1"/>
    <col min="65" max="65" width="12.25" style="1" bestFit="1" customWidth="1"/>
    <col min="66" max="66" width="14" style="1" bestFit="1" customWidth="1"/>
    <col min="67" max="67" width="15.875" style="1" bestFit="1" customWidth="1"/>
    <col min="68" max="68" width="11.25" style="1" bestFit="1" customWidth="1"/>
    <col min="69" max="69" width="15.625" style="1" bestFit="1" customWidth="1"/>
    <col min="70" max="70" width="15.125" style="1" bestFit="1" customWidth="1"/>
    <col min="71" max="71" width="15.875" style="1" bestFit="1" customWidth="1"/>
    <col min="72" max="72" width="12.625" style="1" bestFit="1" customWidth="1"/>
    <col min="73" max="73" width="13.375" style="1" bestFit="1" customWidth="1"/>
    <col min="74" max="74" width="15.875" style="1" bestFit="1" customWidth="1"/>
    <col min="75" max="75" width="12.625" style="1" bestFit="1" customWidth="1"/>
    <col min="76" max="76" width="13.75" style="1" bestFit="1" customWidth="1"/>
    <col min="77" max="77" width="15.875" style="1" bestFit="1" customWidth="1"/>
    <col min="78" max="78" width="12.25" style="1" bestFit="1" customWidth="1"/>
    <col min="79" max="79" width="14" style="1" bestFit="1" customWidth="1"/>
    <col min="80" max="80" width="15.875" style="1" bestFit="1" customWidth="1"/>
    <col min="81" max="81" width="11.25" style="1" bestFit="1" customWidth="1"/>
    <col min="82" max="83" width="15.625" style="1" bestFit="1" customWidth="1"/>
    <col min="84" max="84" width="15.125" style="1" bestFit="1" customWidth="1"/>
    <col min="85" max="85" width="15.875" style="1" bestFit="1" customWidth="1"/>
    <col min="86" max="86" width="12.25" style="1" bestFit="1" customWidth="1"/>
    <col min="87" max="87" width="13.375" style="1" bestFit="1" customWidth="1"/>
    <col min="88" max="88" width="15.875" style="1" bestFit="1" customWidth="1"/>
    <col min="89" max="89" width="12.625" style="1" bestFit="1" customWidth="1"/>
    <col min="90" max="90" width="13.75" style="1" bestFit="1" customWidth="1"/>
    <col min="91" max="91" width="15.875" style="1" bestFit="1" customWidth="1"/>
    <col min="92" max="92" width="12.25" style="1" bestFit="1" customWidth="1"/>
    <col min="93" max="93" width="13.375" style="1" bestFit="1" customWidth="1"/>
    <col min="94" max="94" width="15.875" style="1" bestFit="1" customWidth="1"/>
    <col min="95" max="95" width="11.25" style="1" bestFit="1" customWidth="1"/>
    <col min="96" max="96" width="15.625" style="1" bestFit="1" customWidth="1"/>
    <col min="97" max="97" width="15.125" style="1" bestFit="1" customWidth="1"/>
    <col min="98" max="98" width="15.875" style="1" bestFit="1" customWidth="1"/>
    <col min="99" max="99" width="12.25" style="1" bestFit="1" customWidth="1"/>
    <col min="100" max="100" width="13.375" style="1" bestFit="1" customWidth="1"/>
    <col min="101" max="101" width="15.875" style="1" bestFit="1" customWidth="1"/>
    <col min="102" max="102" width="12.25" style="1" bestFit="1" customWidth="1"/>
    <col min="103" max="103" width="15.125" style="1" bestFit="1" customWidth="1"/>
    <col min="104" max="104" width="15.875" style="1" bestFit="1" customWidth="1"/>
    <col min="105" max="105" width="12.25" style="1" bestFit="1" customWidth="1"/>
    <col min="106" max="106" width="13.375" style="1" bestFit="1" customWidth="1"/>
    <col min="107" max="107" width="15.875" style="1" bestFit="1" customWidth="1"/>
    <col min="108" max="108" width="11.25" style="1" bestFit="1" customWidth="1"/>
    <col min="109" max="109" width="15.375" style="1" bestFit="1" customWidth="1"/>
    <col min="110" max="110" width="15.125" style="1" bestFit="1" customWidth="1"/>
    <col min="111" max="111" width="15.875" style="1" bestFit="1" customWidth="1"/>
    <col min="112" max="112" width="12.625" style="1" bestFit="1" customWidth="1"/>
    <col min="113" max="113" width="13.375" style="1" bestFit="1" customWidth="1"/>
    <col min="114" max="114" width="15.875" style="1" bestFit="1" customWidth="1"/>
    <col min="115" max="115" width="12.25" style="1" bestFit="1" customWidth="1"/>
    <col min="116" max="116" width="13.375" style="1" bestFit="1" customWidth="1"/>
    <col min="117" max="117" width="15.875" style="1" bestFit="1" customWidth="1"/>
    <col min="118" max="118" width="12.625" style="1" bestFit="1" customWidth="1"/>
    <col min="119" max="119" width="13.375" style="1" bestFit="1" customWidth="1"/>
    <col min="120" max="120" width="15.875" style="1" bestFit="1" customWidth="1"/>
    <col min="121" max="121" width="11.25" style="1" bestFit="1" customWidth="1"/>
    <col min="122" max="124" width="15.125" style="1" bestFit="1" customWidth="1"/>
    <col min="125" max="125" width="15.875" style="1" bestFit="1" customWidth="1"/>
    <col min="126" max="126" width="12.625" style="1" bestFit="1" customWidth="1"/>
    <col min="127" max="127" width="13.375" style="1" bestFit="1" customWidth="1"/>
    <col min="128" max="128" width="15.875" style="1" bestFit="1" customWidth="1"/>
    <col min="129" max="129" width="12.25" style="1" bestFit="1" customWidth="1"/>
    <col min="130" max="130" width="15.125" style="1" bestFit="1" customWidth="1"/>
    <col min="131" max="131" width="15.875" style="1" bestFit="1" customWidth="1"/>
    <col min="132" max="132" width="12.25" style="1" bestFit="1" customWidth="1"/>
    <col min="133" max="133" width="13.375" style="1" bestFit="1" customWidth="1"/>
    <col min="134" max="134" width="15.875" style="1" bestFit="1" customWidth="1"/>
    <col min="135" max="135" width="11.25" style="1" bestFit="1" customWidth="1"/>
    <col min="136" max="137" width="15.125" style="1" bestFit="1" customWidth="1"/>
    <col min="138" max="138" width="15.875" style="1" bestFit="1" customWidth="1"/>
    <col min="139" max="139" width="12.625" style="1" bestFit="1" customWidth="1"/>
    <col min="140" max="140" width="13.375" style="1" bestFit="1" customWidth="1"/>
    <col min="141" max="141" width="15.875" style="1" bestFit="1" customWidth="1"/>
    <col min="142" max="142" width="12.25" style="1" bestFit="1" customWidth="1"/>
    <col min="143" max="143" width="13.75" style="1" bestFit="1" customWidth="1"/>
    <col min="144" max="144" width="15.875" style="1" bestFit="1" customWidth="1"/>
    <col min="145" max="145" width="12.25" style="1" bestFit="1" customWidth="1"/>
    <col min="146" max="146" width="13.375" style="1" bestFit="1" customWidth="1"/>
    <col min="147" max="147" width="15.875" style="1" bestFit="1" customWidth="1"/>
    <col min="148" max="148" width="11.25" style="1" bestFit="1" customWidth="1"/>
    <col min="149" max="149" width="15.625" style="1" bestFit="1" customWidth="1"/>
    <col min="150" max="150" width="15.125" style="1" bestFit="1" customWidth="1"/>
    <col min="151" max="151" width="15.875" style="1" bestFit="1" customWidth="1"/>
    <col min="152" max="152" width="12.625" style="1" bestFit="1" customWidth="1"/>
    <col min="153" max="153" width="13.375" style="1" bestFit="1" customWidth="1"/>
    <col min="154" max="154" width="15.875" style="1" bestFit="1" customWidth="1"/>
    <col min="155" max="155" width="12.25" style="1" bestFit="1" customWidth="1"/>
    <col min="156" max="156" width="13.75" style="1" bestFit="1" customWidth="1"/>
    <col min="157" max="157" width="15.875" style="1" bestFit="1" customWidth="1"/>
    <col min="158" max="158" width="12.25" style="1" bestFit="1" customWidth="1"/>
    <col min="159" max="159" width="13.375" style="1" bestFit="1" customWidth="1"/>
    <col min="160" max="160" width="15.875" style="1" bestFit="1" customWidth="1"/>
    <col min="161" max="161" width="11.25" style="1" bestFit="1" customWidth="1"/>
    <col min="162" max="162" width="15.625" style="1" bestFit="1" customWidth="1"/>
    <col min="163" max="163" width="15.125" style="1" bestFit="1" customWidth="1"/>
    <col min="164" max="164" width="16.875" style="1" bestFit="1" customWidth="1"/>
    <col min="165" max="16384" width="9.125" style="1"/>
  </cols>
  <sheetData>
    <row r="1" spans="1:164" x14ac:dyDescent="0.35">
      <c r="A1" s="5" t="s">
        <v>112</v>
      </c>
      <c r="B1" s="5"/>
      <c r="C1" s="5"/>
      <c r="D1" s="118" t="s">
        <v>246</v>
      </c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 t="s">
        <v>247</v>
      </c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 t="s">
        <v>248</v>
      </c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56" t="s">
        <v>223</v>
      </c>
      <c r="AR1" s="118" t="s">
        <v>270</v>
      </c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 t="s">
        <v>271</v>
      </c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 t="s">
        <v>272</v>
      </c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56" t="s">
        <v>224</v>
      </c>
      <c r="CF1" s="118" t="s">
        <v>273</v>
      </c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 t="s">
        <v>274</v>
      </c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 t="s">
        <v>275</v>
      </c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56" t="s">
        <v>225</v>
      </c>
      <c r="DT1" s="118" t="s">
        <v>276</v>
      </c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 t="s">
        <v>277</v>
      </c>
      <c r="EH1" s="118"/>
      <c r="EI1" s="118"/>
      <c r="EJ1" s="118"/>
      <c r="EK1" s="118"/>
      <c r="EL1" s="118"/>
      <c r="EM1" s="118"/>
      <c r="EN1" s="118"/>
      <c r="EO1" s="118"/>
      <c r="EP1" s="118"/>
      <c r="EQ1" s="118"/>
      <c r="ER1" s="118"/>
      <c r="ES1" s="118"/>
      <c r="ET1" s="118" t="s">
        <v>278</v>
      </c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56" t="s">
        <v>226</v>
      </c>
      <c r="FH1" s="111" t="s">
        <v>228</v>
      </c>
    </row>
    <row r="2" spans="1:164" x14ac:dyDescent="0.35">
      <c r="A2" s="5" t="s">
        <v>103</v>
      </c>
      <c r="B2" s="5" t="s">
        <v>100</v>
      </c>
      <c r="C2" s="5"/>
      <c r="D2" s="117" t="s">
        <v>17</v>
      </c>
      <c r="E2" s="117"/>
      <c r="F2" s="117"/>
      <c r="G2" s="117"/>
      <c r="H2" s="117"/>
      <c r="I2" s="117"/>
      <c r="J2" s="117" t="s">
        <v>18</v>
      </c>
      <c r="K2" s="117"/>
      <c r="L2" s="117"/>
      <c r="M2" s="117"/>
      <c r="N2" s="117"/>
      <c r="O2" s="117"/>
      <c r="P2" s="5" t="s">
        <v>16</v>
      </c>
      <c r="Q2" s="117" t="s">
        <v>17</v>
      </c>
      <c r="R2" s="117"/>
      <c r="S2" s="117"/>
      <c r="T2" s="117"/>
      <c r="U2" s="117"/>
      <c r="V2" s="117"/>
      <c r="W2" s="117" t="s">
        <v>18</v>
      </c>
      <c r="X2" s="117"/>
      <c r="Y2" s="117"/>
      <c r="Z2" s="117"/>
      <c r="AA2" s="117"/>
      <c r="AB2" s="117"/>
      <c r="AC2" s="5" t="s">
        <v>16</v>
      </c>
      <c r="AD2" s="117" t="s">
        <v>17</v>
      </c>
      <c r="AE2" s="117"/>
      <c r="AF2" s="117"/>
      <c r="AG2" s="117"/>
      <c r="AH2" s="117"/>
      <c r="AI2" s="117"/>
      <c r="AJ2" s="117" t="s">
        <v>18</v>
      </c>
      <c r="AK2" s="117"/>
      <c r="AL2" s="117"/>
      <c r="AM2" s="117"/>
      <c r="AN2" s="117"/>
      <c r="AO2" s="117"/>
      <c r="AP2" s="5" t="s">
        <v>16</v>
      </c>
      <c r="AQ2" s="5" t="s">
        <v>16</v>
      </c>
      <c r="AR2" s="117" t="s">
        <v>17</v>
      </c>
      <c r="AS2" s="117"/>
      <c r="AT2" s="117"/>
      <c r="AU2" s="117"/>
      <c r="AV2" s="117"/>
      <c r="AW2" s="117"/>
      <c r="AX2" s="117" t="s">
        <v>18</v>
      </c>
      <c r="AY2" s="117"/>
      <c r="AZ2" s="117"/>
      <c r="BA2" s="117"/>
      <c r="BB2" s="117"/>
      <c r="BC2" s="117"/>
      <c r="BD2" s="5" t="s">
        <v>16</v>
      </c>
      <c r="BE2" s="117" t="s">
        <v>17</v>
      </c>
      <c r="BF2" s="117"/>
      <c r="BG2" s="117"/>
      <c r="BH2" s="117"/>
      <c r="BI2" s="117"/>
      <c r="BJ2" s="117"/>
      <c r="BK2" s="117" t="s">
        <v>18</v>
      </c>
      <c r="BL2" s="117"/>
      <c r="BM2" s="117"/>
      <c r="BN2" s="117"/>
      <c r="BO2" s="117"/>
      <c r="BP2" s="117"/>
      <c r="BQ2" s="5" t="s">
        <v>16</v>
      </c>
      <c r="BR2" s="117" t="s">
        <v>17</v>
      </c>
      <c r="BS2" s="117"/>
      <c r="BT2" s="117"/>
      <c r="BU2" s="117"/>
      <c r="BV2" s="117"/>
      <c r="BW2" s="117"/>
      <c r="BX2" s="117" t="s">
        <v>18</v>
      </c>
      <c r="BY2" s="117"/>
      <c r="BZ2" s="117"/>
      <c r="CA2" s="117"/>
      <c r="CB2" s="117"/>
      <c r="CC2" s="117"/>
      <c r="CD2" s="5" t="s">
        <v>16</v>
      </c>
      <c r="CE2" s="5" t="s">
        <v>16</v>
      </c>
      <c r="CF2" s="117" t="s">
        <v>17</v>
      </c>
      <c r="CG2" s="117"/>
      <c r="CH2" s="117"/>
      <c r="CI2" s="117"/>
      <c r="CJ2" s="117"/>
      <c r="CK2" s="117"/>
      <c r="CL2" s="117" t="s">
        <v>18</v>
      </c>
      <c r="CM2" s="117"/>
      <c r="CN2" s="117"/>
      <c r="CO2" s="117"/>
      <c r="CP2" s="117"/>
      <c r="CQ2" s="117"/>
      <c r="CR2" s="5" t="s">
        <v>16</v>
      </c>
      <c r="CS2" s="117" t="s">
        <v>17</v>
      </c>
      <c r="CT2" s="117"/>
      <c r="CU2" s="117"/>
      <c r="CV2" s="117"/>
      <c r="CW2" s="117"/>
      <c r="CX2" s="117"/>
      <c r="CY2" s="117" t="s">
        <v>18</v>
      </c>
      <c r="CZ2" s="117"/>
      <c r="DA2" s="117"/>
      <c r="DB2" s="117"/>
      <c r="DC2" s="117"/>
      <c r="DD2" s="117"/>
      <c r="DE2" s="5" t="s">
        <v>16</v>
      </c>
      <c r="DF2" s="117" t="s">
        <v>17</v>
      </c>
      <c r="DG2" s="117"/>
      <c r="DH2" s="117"/>
      <c r="DI2" s="117"/>
      <c r="DJ2" s="117"/>
      <c r="DK2" s="117"/>
      <c r="DL2" s="117" t="s">
        <v>18</v>
      </c>
      <c r="DM2" s="117"/>
      <c r="DN2" s="117"/>
      <c r="DO2" s="117"/>
      <c r="DP2" s="117"/>
      <c r="DQ2" s="117"/>
      <c r="DR2" s="5" t="s">
        <v>16</v>
      </c>
      <c r="DS2" s="5" t="s">
        <v>16</v>
      </c>
      <c r="DT2" s="117" t="s">
        <v>17</v>
      </c>
      <c r="DU2" s="117"/>
      <c r="DV2" s="117"/>
      <c r="DW2" s="117"/>
      <c r="DX2" s="117"/>
      <c r="DY2" s="117"/>
      <c r="DZ2" s="117" t="s">
        <v>18</v>
      </c>
      <c r="EA2" s="117"/>
      <c r="EB2" s="117"/>
      <c r="EC2" s="117"/>
      <c r="ED2" s="117"/>
      <c r="EE2" s="117"/>
      <c r="EF2" s="5" t="s">
        <v>16</v>
      </c>
      <c r="EG2" s="117" t="s">
        <v>17</v>
      </c>
      <c r="EH2" s="117"/>
      <c r="EI2" s="117"/>
      <c r="EJ2" s="117"/>
      <c r="EK2" s="117"/>
      <c r="EL2" s="117"/>
      <c r="EM2" s="117" t="s">
        <v>18</v>
      </c>
      <c r="EN2" s="117"/>
      <c r="EO2" s="117"/>
      <c r="EP2" s="117"/>
      <c r="EQ2" s="117"/>
      <c r="ER2" s="117"/>
      <c r="ES2" s="5" t="s">
        <v>16</v>
      </c>
      <c r="ET2" s="117" t="s">
        <v>17</v>
      </c>
      <c r="EU2" s="117"/>
      <c r="EV2" s="117"/>
      <c r="EW2" s="117"/>
      <c r="EX2" s="117"/>
      <c r="EY2" s="117"/>
      <c r="EZ2" s="117" t="s">
        <v>18</v>
      </c>
      <c r="FA2" s="117"/>
      <c r="FB2" s="117"/>
      <c r="FC2" s="117"/>
      <c r="FD2" s="117"/>
      <c r="FE2" s="117"/>
      <c r="FF2" s="5" t="s">
        <v>16</v>
      </c>
      <c r="FG2" s="5" t="s">
        <v>16</v>
      </c>
      <c r="FH2" s="116"/>
    </row>
    <row r="3" spans="1:164" x14ac:dyDescent="0.35">
      <c r="A3" s="5" t="s">
        <v>120</v>
      </c>
      <c r="B3" s="5"/>
      <c r="C3" s="5"/>
      <c r="D3" s="105" t="s">
        <v>8</v>
      </c>
      <c r="E3" s="106"/>
      <c r="F3" s="107"/>
      <c r="G3" s="105" t="s">
        <v>9</v>
      </c>
      <c r="H3" s="106"/>
      <c r="I3" s="107"/>
      <c r="J3" s="105" t="s">
        <v>8</v>
      </c>
      <c r="K3" s="106"/>
      <c r="L3" s="107"/>
      <c r="M3" s="105" t="s">
        <v>9</v>
      </c>
      <c r="N3" s="106"/>
      <c r="O3" s="107"/>
      <c r="P3" s="5"/>
      <c r="Q3" s="105" t="s">
        <v>8</v>
      </c>
      <c r="R3" s="106"/>
      <c r="S3" s="107"/>
      <c r="T3" s="105" t="s">
        <v>9</v>
      </c>
      <c r="U3" s="106"/>
      <c r="V3" s="107"/>
      <c r="W3" s="105" t="s">
        <v>8</v>
      </c>
      <c r="X3" s="106"/>
      <c r="Y3" s="107"/>
      <c r="Z3" s="105" t="s">
        <v>9</v>
      </c>
      <c r="AA3" s="106"/>
      <c r="AB3" s="107"/>
      <c r="AC3" s="5"/>
      <c r="AD3" s="105" t="s">
        <v>8</v>
      </c>
      <c r="AE3" s="106"/>
      <c r="AF3" s="107"/>
      <c r="AG3" s="105" t="s">
        <v>9</v>
      </c>
      <c r="AH3" s="106"/>
      <c r="AI3" s="107"/>
      <c r="AJ3" s="105" t="s">
        <v>8</v>
      </c>
      <c r="AK3" s="106"/>
      <c r="AL3" s="107"/>
      <c r="AM3" s="105" t="s">
        <v>9</v>
      </c>
      <c r="AN3" s="106"/>
      <c r="AO3" s="107"/>
      <c r="AP3" s="5"/>
      <c r="AQ3" s="5"/>
      <c r="AR3" s="105" t="s">
        <v>8</v>
      </c>
      <c r="AS3" s="106"/>
      <c r="AT3" s="107"/>
      <c r="AU3" s="105" t="s">
        <v>9</v>
      </c>
      <c r="AV3" s="106"/>
      <c r="AW3" s="107"/>
      <c r="AX3" s="105" t="s">
        <v>8</v>
      </c>
      <c r="AY3" s="106"/>
      <c r="AZ3" s="107"/>
      <c r="BA3" s="105" t="s">
        <v>9</v>
      </c>
      <c r="BB3" s="106"/>
      <c r="BC3" s="107"/>
      <c r="BD3" s="5"/>
      <c r="BE3" s="105" t="s">
        <v>8</v>
      </c>
      <c r="BF3" s="106"/>
      <c r="BG3" s="107"/>
      <c r="BH3" s="105" t="s">
        <v>9</v>
      </c>
      <c r="BI3" s="106"/>
      <c r="BJ3" s="107"/>
      <c r="BK3" s="105" t="s">
        <v>8</v>
      </c>
      <c r="BL3" s="106"/>
      <c r="BM3" s="107"/>
      <c r="BN3" s="105" t="s">
        <v>9</v>
      </c>
      <c r="BO3" s="106"/>
      <c r="BP3" s="107"/>
      <c r="BQ3" s="5"/>
      <c r="BR3" s="105" t="s">
        <v>8</v>
      </c>
      <c r="BS3" s="106"/>
      <c r="BT3" s="107"/>
      <c r="BU3" s="105" t="s">
        <v>9</v>
      </c>
      <c r="BV3" s="106"/>
      <c r="BW3" s="107"/>
      <c r="BX3" s="105" t="s">
        <v>8</v>
      </c>
      <c r="BY3" s="106"/>
      <c r="BZ3" s="107"/>
      <c r="CA3" s="105" t="s">
        <v>9</v>
      </c>
      <c r="CB3" s="106"/>
      <c r="CC3" s="107"/>
      <c r="CD3" s="5"/>
      <c r="CE3" s="5"/>
      <c r="CF3" s="105" t="s">
        <v>8</v>
      </c>
      <c r="CG3" s="106"/>
      <c r="CH3" s="107"/>
      <c r="CI3" s="105" t="s">
        <v>9</v>
      </c>
      <c r="CJ3" s="106"/>
      <c r="CK3" s="107"/>
      <c r="CL3" s="105" t="s">
        <v>8</v>
      </c>
      <c r="CM3" s="106"/>
      <c r="CN3" s="107"/>
      <c r="CO3" s="105" t="s">
        <v>9</v>
      </c>
      <c r="CP3" s="106"/>
      <c r="CQ3" s="107"/>
      <c r="CR3" s="5"/>
      <c r="CS3" s="105" t="s">
        <v>8</v>
      </c>
      <c r="CT3" s="106"/>
      <c r="CU3" s="107"/>
      <c r="CV3" s="105" t="s">
        <v>9</v>
      </c>
      <c r="CW3" s="106"/>
      <c r="CX3" s="107"/>
      <c r="CY3" s="105" t="s">
        <v>8</v>
      </c>
      <c r="CZ3" s="106"/>
      <c r="DA3" s="107"/>
      <c r="DB3" s="105" t="s">
        <v>9</v>
      </c>
      <c r="DC3" s="106"/>
      <c r="DD3" s="107"/>
      <c r="DE3" s="5"/>
      <c r="DF3" s="105" t="s">
        <v>8</v>
      </c>
      <c r="DG3" s="106"/>
      <c r="DH3" s="107"/>
      <c r="DI3" s="105" t="s">
        <v>9</v>
      </c>
      <c r="DJ3" s="106"/>
      <c r="DK3" s="107"/>
      <c r="DL3" s="105" t="s">
        <v>8</v>
      </c>
      <c r="DM3" s="106"/>
      <c r="DN3" s="107"/>
      <c r="DO3" s="105" t="s">
        <v>9</v>
      </c>
      <c r="DP3" s="106"/>
      <c r="DQ3" s="107"/>
      <c r="DR3" s="5"/>
      <c r="DS3" s="5"/>
      <c r="DT3" s="105" t="s">
        <v>8</v>
      </c>
      <c r="DU3" s="106"/>
      <c r="DV3" s="107"/>
      <c r="DW3" s="105" t="s">
        <v>9</v>
      </c>
      <c r="DX3" s="106"/>
      <c r="DY3" s="107"/>
      <c r="DZ3" s="105" t="s">
        <v>8</v>
      </c>
      <c r="EA3" s="106"/>
      <c r="EB3" s="107"/>
      <c r="EC3" s="105" t="s">
        <v>9</v>
      </c>
      <c r="ED3" s="106"/>
      <c r="EE3" s="107"/>
      <c r="EF3" s="5"/>
      <c r="EG3" s="105" t="s">
        <v>8</v>
      </c>
      <c r="EH3" s="106"/>
      <c r="EI3" s="107"/>
      <c r="EJ3" s="105" t="s">
        <v>9</v>
      </c>
      <c r="EK3" s="106"/>
      <c r="EL3" s="107"/>
      <c r="EM3" s="105" t="s">
        <v>8</v>
      </c>
      <c r="EN3" s="106"/>
      <c r="EO3" s="107"/>
      <c r="EP3" s="105" t="s">
        <v>9</v>
      </c>
      <c r="EQ3" s="106"/>
      <c r="ER3" s="107"/>
      <c r="ES3" s="5"/>
      <c r="ET3" s="105" t="s">
        <v>8</v>
      </c>
      <c r="EU3" s="106"/>
      <c r="EV3" s="107"/>
      <c r="EW3" s="105" t="s">
        <v>9</v>
      </c>
      <c r="EX3" s="106"/>
      <c r="EY3" s="107"/>
      <c r="EZ3" s="105" t="s">
        <v>8</v>
      </c>
      <c r="FA3" s="106"/>
      <c r="FB3" s="107"/>
      <c r="FC3" s="105" t="s">
        <v>9</v>
      </c>
      <c r="FD3" s="106"/>
      <c r="FE3" s="107"/>
      <c r="FF3" s="5"/>
      <c r="FG3" s="5"/>
      <c r="FH3" s="112"/>
    </row>
    <row r="4" spans="1:164" x14ac:dyDescent="0.35">
      <c r="A4" s="33"/>
      <c r="B4" s="46"/>
      <c r="C4" s="47"/>
      <c r="D4" s="33" t="s">
        <v>5</v>
      </c>
      <c r="E4" s="33" t="s">
        <v>6</v>
      </c>
      <c r="F4" s="33" t="s">
        <v>7</v>
      </c>
      <c r="G4" s="33" t="s">
        <v>5</v>
      </c>
      <c r="H4" s="33" t="s">
        <v>6</v>
      </c>
      <c r="I4" s="33" t="s">
        <v>7</v>
      </c>
      <c r="J4" s="33" t="s">
        <v>5</v>
      </c>
      <c r="K4" s="33" t="s">
        <v>6</v>
      </c>
      <c r="L4" s="33" t="s">
        <v>7</v>
      </c>
      <c r="M4" s="33" t="s">
        <v>5</v>
      </c>
      <c r="N4" s="33" t="s">
        <v>6</v>
      </c>
      <c r="O4" s="33" t="s">
        <v>7</v>
      </c>
      <c r="P4" s="33"/>
      <c r="Q4" s="33" t="s">
        <v>5</v>
      </c>
      <c r="R4" s="33" t="s">
        <v>6</v>
      </c>
      <c r="S4" s="33" t="s">
        <v>7</v>
      </c>
      <c r="T4" s="33" t="s">
        <v>5</v>
      </c>
      <c r="U4" s="33" t="s">
        <v>6</v>
      </c>
      <c r="V4" s="33" t="s">
        <v>7</v>
      </c>
      <c r="W4" s="33" t="s">
        <v>5</v>
      </c>
      <c r="X4" s="33" t="s">
        <v>6</v>
      </c>
      <c r="Y4" s="33" t="s">
        <v>7</v>
      </c>
      <c r="Z4" s="33" t="s">
        <v>5</v>
      </c>
      <c r="AA4" s="33" t="s">
        <v>6</v>
      </c>
      <c r="AB4" s="33" t="s">
        <v>7</v>
      </c>
      <c r="AC4" s="33"/>
      <c r="AD4" s="33" t="s">
        <v>5</v>
      </c>
      <c r="AE4" s="33" t="s">
        <v>6</v>
      </c>
      <c r="AF4" s="33" t="s">
        <v>7</v>
      </c>
      <c r="AG4" s="33" t="s">
        <v>5</v>
      </c>
      <c r="AH4" s="33" t="s">
        <v>6</v>
      </c>
      <c r="AI4" s="33" t="s">
        <v>7</v>
      </c>
      <c r="AJ4" s="33" t="s">
        <v>5</v>
      </c>
      <c r="AK4" s="33" t="s">
        <v>6</v>
      </c>
      <c r="AL4" s="33" t="s">
        <v>7</v>
      </c>
      <c r="AM4" s="33" t="s">
        <v>5</v>
      </c>
      <c r="AN4" s="33" t="s">
        <v>6</v>
      </c>
      <c r="AO4" s="33" t="s">
        <v>7</v>
      </c>
      <c r="AP4" s="33"/>
      <c r="AQ4" s="33"/>
      <c r="AR4" s="33" t="s">
        <v>5</v>
      </c>
      <c r="AS4" s="33" t="s">
        <v>6</v>
      </c>
      <c r="AT4" s="33" t="s">
        <v>7</v>
      </c>
      <c r="AU4" s="33" t="s">
        <v>5</v>
      </c>
      <c r="AV4" s="33" t="s">
        <v>6</v>
      </c>
      <c r="AW4" s="33" t="s">
        <v>7</v>
      </c>
      <c r="AX4" s="33" t="s">
        <v>5</v>
      </c>
      <c r="AY4" s="33" t="s">
        <v>6</v>
      </c>
      <c r="AZ4" s="33" t="s">
        <v>7</v>
      </c>
      <c r="BA4" s="33" t="s">
        <v>5</v>
      </c>
      <c r="BB4" s="33" t="s">
        <v>6</v>
      </c>
      <c r="BC4" s="33" t="s">
        <v>7</v>
      </c>
      <c r="BD4" s="33"/>
      <c r="BE4" s="33" t="s">
        <v>5</v>
      </c>
      <c r="BF4" s="33" t="s">
        <v>6</v>
      </c>
      <c r="BG4" s="33" t="s">
        <v>7</v>
      </c>
      <c r="BH4" s="33" t="s">
        <v>5</v>
      </c>
      <c r="BI4" s="33" t="s">
        <v>6</v>
      </c>
      <c r="BJ4" s="33" t="s">
        <v>7</v>
      </c>
      <c r="BK4" s="33" t="s">
        <v>5</v>
      </c>
      <c r="BL4" s="33" t="s">
        <v>6</v>
      </c>
      <c r="BM4" s="33" t="s">
        <v>7</v>
      </c>
      <c r="BN4" s="33" t="s">
        <v>5</v>
      </c>
      <c r="BO4" s="33" t="s">
        <v>6</v>
      </c>
      <c r="BP4" s="33" t="s">
        <v>7</v>
      </c>
      <c r="BQ4" s="33"/>
      <c r="BR4" s="33" t="s">
        <v>5</v>
      </c>
      <c r="BS4" s="33" t="s">
        <v>6</v>
      </c>
      <c r="BT4" s="33" t="s">
        <v>7</v>
      </c>
      <c r="BU4" s="33" t="s">
        <v>5</v>
      </c>
      <c r="BV4" s="33" t="s">
        <v>6</v>
      </c>
      <c r="BW4" s="33" t="s">
        <v>7</v>
      </c>
      <c r="BX4" s="33" t="s">
        <v>5</v>
      </c>
      <c r="BY4" s="33" t="s">
        <v>6</v>
      </c>
      <c r="BZ4" s="33" t="s">
        <v>7</v>
      </c>
      <c r="CA4" s="33" t="s">
        <v>5</v>
      </c>
      <c r="CB4" s="33" t="s">
        <v>6</v>
      </c>
      <c r="CC4" s="33" t="s">
        <v>7</v>
      </c>
      <c r="CD4" s="33"/>
      <c r="CE4" s="33"/>
      <c r="CF4" s="33" t="s">
        <v>5</v>
      </c>
      <c r="CG4" s="33" t="s">
        <v>6</v>
      </c>
      <c r="CH4" s="33" t="s">
        <v>7</v>
      </c>
      <c r="CI4" s="33" t="s">
        <v>5</v>
      </c>
      <c r="CJ4" s="33" t="s">
        <v>6</v>
      </c>
      <c r="CK4" s="33" t="s">
        <v>7</v>
      </c>
      <c r="CL4" s="33" t="s">
        <v>5</v>
      </c>
      <c r="CM4" s="33" t="s">
        <v>6</v>
      </c>
      <c r="CN4" s="33" t="s">
        <v>7</v>
      </c>
      <c r="CO4" s="33" t="s">
        <v>5</v>
      </c>
      <c r="CP4" s="33" t="s">
        <v>6</v>
      </c>
      <c r="CQ4" s="33" t="s">
        <v>7</v>
      </c>
      <c r="CR4" s="33"/>
      <c r="CS4" s="33" t="s">
        <v>5</v>
      </c>
      <c r="CT4" s="33" t="s">
        <v>6</v>
      </c>
      <c r="CU4" s="33" t="s">
        <v>7</v>
      </c>
      <c r="CV4" s="33" t="s">
        <v>5</v>
      </c>
      <c r="CW4" s="33" t="s">
        <v>6</v>
      </c>
      <c r="CX4" s="33" t="s">
        <v>7</v>
      </c>
      <c r="CY4" s="33" t="s">
        <v>5</v>
      </c>
      <c r="CZ4" s="33" t="s">
        <v>6</v>
      </c>
      <c r="DA4" s="33" t="s">
        <v>7</v>
      </c>
      <c r="DB4" s="33" t="s">
        <v>5</v>
      </c>
      <c r="DC4" s="33" t="s">
        <v>6</v>
      </c>
      <c r="DD4" s="33" t="s">
        <v>7</v>
      </c>
      <c r="DE4" s="33"/>
      <c r="DF4" s="33" t="s">
        <v>5</v>
      </c>
      <c r="DG4" s="33" t="s">
        <v>6</v>
      </c>
      <c r="DH4" s="33" t="s">
        <v>7</v>
      </c>
      <c r="DI4" s="33" t="s">
        <v>5</v>
      </c>
      <c r="DJ4" s="33" t="s">
        <v>6</v>
      </c>
      <c r="DK4" s="33" t="s">
        <v>7</v>
      </c>
      <c r="DL4" s="33" t="s">
        <v>5</v>
      </c>
      <c r="DM4" s="33" t="s">
        <v>6</v>
      </c>
      <c r="DN4" s="33" t="s">
        <v>7</v>
      </c>
      <c r="DO4" s="33" t="s">
        <v>5</v>
      </c>
      <c r="DP4" s="33" t="s">
        <v>6</v>
      </c>
      <c r="DQ4" s="33" t="s">
        <v>7</v>
      </c>
      <c r="DR4" s="33"/>
      <c r="DS4" s="33"/>
      <c r="DT4" s="33" t="s">
        <v>5</v>
      </c>
      <c r="DU4" s="33" t="s">
        <v>6</v>
      </c>
      <c r="DV4" s="33" t="s">
        <v>7</v>
      </c>
      <c r="DW4" s="33" t="s">
        <v>5</v>
      </c>
      <c r="DX4" s="33" t="s">
        <v>6</v>
      </c>
      <c r="DY4" s="33" t="s">
        <v>7</v>
      </c>
      <c r="DZ4" s="33" t="s">
        <v>5</v>
      </c>
      <c r="EA4" s="33" t="s">
        <v>6</v>
      </c>
      <c r="EB4" s="33" t="s">
        <v>7</v>
      </c>
      <c r="EC4" s="33" t="s">
        <v>5</v>
      </c>
      <c r="ED4" s="33" t="s">
        <v>6</v>
      </c>
      <c r="EE4" s="33" t="s">
        <v>7</v>
      </c>
      <c r="EF4" s="33"/>
      <c r="EG4" s="33" t="s">
        <v>5</v>
      </c>
      <c r="EH4" s="33" t="s">
        <v>6</v>
      </c>
      <c r="EI4" s="33" t="s">
        <v>7</v>
      </c>
      <c r="EJ4" s="33" t="s">
        <v>5</v>
      </c>
      <c r="EK4" s="33" t="s">
        <v>6</v>
      </c>
      <c r="EL4" s="33" t="s">
        <v>7</v>
      </c>
      <c r="EM4" s="33" t="s">
        <v>5</v>
      </c>
      <c r="EN4" s="33" t="s">
        <v>6</v>
      </c>
      <c r="EO4" s="33" t="s">
        <v>7</v>
      </c>
      <c r="EP4" s="33" t="s">
        <v>5</v>
      </c>
      <c r="EQ4" s="33" t="s">
        <v>6</v>
      </c>
      <c r="ER4" s="33" t="s">
        <v>7</v>
      </c>
      <c r="ES4" s="33"/>
      <c r="ET4" s="33" t="s">
        <v>5</v>
      </c>
      <c r="EU4" s="33" t="s">
        <v>6</v>
      </c>
      <c r="EV4" s="33" t="s">
        <v>7</v>
      </c>
      <c r="EW4" s="33" t="s">
        <v>5</v>
      </c>
      <c r="EX4" s="33" t="s">
        <v>6</v>
      </c>
      <c r="EY4" s="33" t="s">
        <v>7</v>
      </c>
      <c r="EZ4" s="33" t="s">
        <v>5</v>
      </c>
      <c r="FA4" s="33" t="s">
        <v>6</v>
      </c>
      <c r="FB4" s="33" t="s">
        <v>7</v>
      </c>
      <c r="FC4" s="33" t="s">
        <v>5</v>
      </c>
      <c r="FD4" s="33" t="s">
        <v>6</v>
      </c>
      <c r="FE4" s="33" t="s">
        <v>7</v>
      </c>
      <c r="FF4" s="33"/>
      <c r="FG4" s="33"/>
      <c r="FH4" s="33"/>
    </row>
    <row r="5" spans="1:164" x14ac:dyDescent="0.35">
      <c r="A5" s="36" t="s">
        <v>4</v>
      </c>
      <c r="B5" s="36" t="s">
        <v>116</v>
      </c>
      <c r="C5" s="36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>
        <f>SUM(D5:O5)</f>
        <v>0</v>
      </c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>
        <f t="shared" ref="AC5:AC40" si="0">SUM(Q5:AB5)</f>
        <v>0</v>
      </c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>
        <f t="shared" ref="AP5:AP75" si="1">SUM(AD5:AO5)</f>
        <v>0</v>
      </c>
      <c r="AQ5" s="37">
        <f t="shared" ref="AQ5:AQ40" si="2">+P5+AC5+AP5</f>
        <v>0</v>
      </c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>
        <f>SUM(AR5:BC5)</f>
        <v>0</v>
      </c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>
        <f>SUM(BE5:BP5)</f>
        <v>0</v>
      </c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>
        <f>SUM(BR5:CC5)</f>
        <v>0</v>
      </c>
      <c r="CE5" s="37">
        <f>+BD5+BQ5+CD5</f>
        <v>0</v>
      </c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>
        <f>SUM(CF5:CQ5)</f>
        <v>0</v>
      </c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>
        <f t="shared" ref="DE5:DE75" si="3">SUM(CS5:DD5)</f>
        <v>0</v>
      </c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>
        <f>SUM(DF5:DQ5)</f>
        <v>0</v>
      </c>
      <c r="DS5" s="37">
        <f>+CR5+DE5+DR5</f>
        <v>0</v>
      </c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>
        <f>SUM(DT5:EE5)</f>
        <v>0</v>
      </c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>
        <f t="shared" ref="ES5:ES75" si="4">SUM(EG5:ER5)</f>
        <v>0</v>
      </c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>
        <f>SUM(ET5:FE5)</f>
        <v>0</v>
      </c>
      <c r="FG5" s="37">
        <f>+EF5+ES5+FF5</f>
        <v>0</v>
      </c>
      <c r="FH5" s="37">
        <f>+AQ5+CE5+DS5+FG5</f>
        <v>0</v>
      </c>
    </row>
    <row r="6" spans="1:164" x14ac:dyDescent="0.35">
      <c r="A6" s="34"/>
      <c r="B6" s="40"/>
      <c r="C6" s="41" t="s">
        <v>122</v>
      </c>
      <c r="D6" s="35"/>
      <c r="E6" s="35"/>
      <c r="F6" s="35"/>
      <c r="G6" s="35"/>
      <c r="H6" s="35"/>
      <c r="I6" s="35"/>
      <c r="J6" s="35">
        <v>28330</v>
      </c>
      <c r="K6" s="35">
        <v>750</v>
      </c>
      <c r="L6" s="35">
        <v>850</v>
      </c>
      <c r="M6" s="35"/>
      <c r="N6" s="35"/>
      <c r="O6" s="35"/>
      <c r="P6" s="35">
        <f t="shared" ref="P6:P76" si="5">SUM(D6:O6)</f>
        <v>29930</v>
      </c>
      <c r="Q6" s="35"/>
      <c r="R6" s="35"/>
      <c r="S6" s="35"/>
      <c r="T6" s="35"/>
      <c r="U6" s="35"/>
      <c r="V6" s="35"/>
      <c r="W6" s="35">
        <v>28330</v>
      </c>
      <c r="X6" s="35">
        <v>750</v>
      </c>
      <c r="Y6" s="35">
        <v>850</v>
      </c>
      <c r="Z6" s="35"/>
      <c r="AA6" s="35"/>
      <c r="AB6" s="35"/>
      <c r="AC6" s="35">
        <f t="shared" si="0"/>
        <v>29930</v>
      </c>
      <c r="AD6" s="35"/>
      <c r="AE6" s="35"/>
      <c r="AF6" s="35"/>
      <c r="AG6" s="35"/>
      <c r="AH6" s="35"/>
      <c r="AI6" s="35"/>
      <c r="AJ6" s="35">
        <v>28330</v>
      </c>
      <c r="AK6" s="35">
        <v>750</v>
      </c>
      <c r="AL6" s="35">
        <v>850</v>
      </c>
      <c r="AM6" s="35"/>
      <c r="AN6" s="35"/>
      <c r="AO6" s="35"/>
      <c r="AP6" s="35">
        <f t="shared" si="1"/>
        <v>29930</v>
      </c>
      <c r="AQ6" s="35">
        <f t="shared" si="2"/>
        <v>89790</v>
      </c>
      <c r="AR6" s="35"/>
      <c r="AS6" s="35"/>
      <c r="AT6" s="35"/>
      <c r="AU6" s="35"/>
      <c r="AV6" s="35"/>
      <c r="AW6" s="35"/>
      <c r="AX6" s="35">
        <v>28330</v>
      </c>
      <c r="AY6" s="35">
        <v>750</v>
      </c>
      <c r="AZ6" s="35">
        <v>850</v>
      </c>
      <c r="BA6" s="35"/>
      <c r="BB6" s="35"/>
      <c r="BC6" s="35"/>
      <c r="BD6" s="35">
        <f t="shared" ref="BD6:BD76" si="6">SUM(AR6:BC6)</f>
        <v>29930</v>
      </c>
      <c r="BE6" s="35"/>
      <c r="BF6" s="35"/>
      <c r="BG6" s="35"/>
      <c r="BH6" s="35"/>
      <c r="BI6" s="35"/>
      <c r="BJ6" s="35"/>
      <c r="BK6" s="35">
        <v>28330</v>
      </c>
      <c r="BL6" s="35">
        <v>750</v>
      </c>
      <c r="BM6" s="35">
        <v>850</v>
      </c>
      <c r="BN6" s="35"/>
      <c r="BO6" s="35"/>
      <c r="BP6" s="35"/>
      <c r="BQ6" s="35">
        <f t="shared" ref="BQ6:BQ75" si="7">SUM(BE6:BP6)</f>
        <v>29930</v>
      </c>
      <c r="BR6" s="35"/>
      <c r="BS6" s="35"/>
      <c r="BT6" s="35"/>
      <c r="BU6" s="35"/>
      <c r="BV6" s="35"/>
      <c r="BW6" s="35"/>
      <c r="BX6" s="35">
        <v>28330</v>
      </c>
      <c r="BY6" s="35">
        <v>750</v>
      </c>
      <c r="BZ6" s="35">
        <v>850</v>
      </c>
      <c r="CA6" s="35"/>
      <c r="CB6" s="35"/>
      <c r="CC6" s="35"/>
      <c r="CD6" s="35">
        <f t="shared" ref="CD6:CD75" si="8">SUM(BR6:CC6)</f>
        <v>29930</v>
      </c>
      <c r="CE6" s="35">
        <f t="shared" ref="CE6:CE76" si="9">+BD6+BQ6+CD6</f>
        <v>89790</v>
      </c>
      <c r="CF6" s="35"/>
      <c r="CG6" s="35"/>
      <c r="CH6" s="35"/>
      <c r="CI6" s="35"/>
      <c r="CJ6" s="35"/>
      <c r="CK6" s="35"/>
      <c r="CL6" s="35">
        <f>29750+(1420*6)</f>
        <v>38270</v>
      </c>
      <c r="CM6" s="35">
        <v>750</v>
      </c>
      <c r="CN6" s="35">
        <f>893+(43*6)</f>
        <v>1151</v>
      </c>
      <c r="CO6" s="35"/>
      <c r="CP6" s="35"/>
      <c r="CQ6" s="35"/>
      <c r="CR6" s="35">
        <f t="shared" ref="CR6:CR76" si="10">SUM(CF6:CQ6)</f>
        <v>40171</v>
      </c>
      <c r="CS6" s="35"/>
      <c r="CT6" s="35"/>
      <c r="CU6" s="35"/>
      <c r="CV6" s="35"/>
      <c r="CW6" s="35"/>
      <c r="CX6" s="35"/>
      <c r="CY6" s="35">
        <f>29750+2800*6</f>
        <v>46550</v>
      </c>
      <c r="CZ6" s="35">
        <v>750</v>
      </c>
      <c r="DA6" s="35">
        <f>893+84*6</f>
        <v>1397</v>
      </c>
      <c r="DB6" s="35"/>
      <c r="DC6" s="35"/>
      <c r="DD6" s="35"/>
      <c r="DE6" s="35">
        <f t="shared" si="3"/>
        <v>48697</v>
      </c>
      <c r="DF6" s="35"/>
      <c r="DG6" s="35"/>
      <c r="DH6" s="35"/>
      <c r="DI6" s="35"/>
      <c r="DJ6" s="35"/>
      <c r="DK6" s="35"/>
      <c r="DL6" s="35">
        <v>29750</v>
      </c>
      <c r="DM6" s="35">
        <v>750</v>
      </c>
      <c r="DN6" s="35">
        <v>893</v>
      </c>
      <c r="DO6" s="35"/>
      <c r="DP6" s="35"/>
      <c r="DQ6" s="35"/>
      <c r="DR6" s="35">
        <f t="shared" ref="DR6:DR76" si="11">SUM(DF6:DQ6)</f>
        <v>31393</v>
      </c>
      <c r="DS6" s="35">
        <f t="shared" ref="DS6:DS76" si="12">+CR6+DE6+DR6</f>
        <v>120261</v>
      </c>
      <c r="DT6" s="35"/>
      <c r="DU6" s="35"/>
      <c r="DV6" s="35"/>
      <c r="DW6" s="35"/>
      <c r="DX6" s="35"/>
      <c r="DY6" s="35"/>
      <c r="DZ6" s="35">
        <v>32550</v>
      </c>
      <c r="EA6" s="35">
        <v>750</v>
      </c>
      <c r="EB6" s="35">
        <v>977</v>
      </c>
      <c r="EC6" s="35"/>
      <c r="ED6" s="35"/>
      <c r="EE6" s="35"/>
      <c r="EF6" s="35">
        <f t="shared" ref="EF6:EF76" si="13">SUM(DT6:EE6)</f>
        <v>34277</v>
      </c>
      <c r="EG6" s="35"/>
      <c r="EH6" s="35"/>
      <c r="EI6" s="35"/>
      <c r="EJ6" s="35"/>
      <c r="EK6" s="35"/>
      <c r="EL6" s="35"/>
      <c r="EM6" s="35">
        <v>32550</v>
      </c>
      <c r="EN6" s="35">
        <v>750</v>
      </c>
      <c r="EO6" s="35">
        <v>977</v>
      </c>
      <c r="EP6" s="35"/>
      <c r="EQ6" s="35"/>
      <c r="ER6" s="35"/>
      <c r="ES6" s="35">
        <f t="shared" si="4"/>
        <v>34277</v>
      </c>
      <c r="ET6" s="35"/>
      <c r="EU6" s="35"/>
      <c r="EV6" s="35"/>
      <c r="EW6" s="35"/>
      <c r="EX6" s="35"/>
      <c r="EY6" s="35"/>
      <c r="EZ6" s="35">
        <v>32550</v>
      </c>
      <c r="FA6" s="35">
        <v>750</v>
      </c>
      <c r="FB6" s="35">
        <v>977</v>
      </c>
      <c r="FC6" s="35"/>
      <c r="FD6" s="35"/>
      <c r="FE6" s="35"/>
      <c r="FF6" s="35">
        <f t="shared" ref="FF6:FF76" si="14">SUM(ET6:FE6)</f>
        <v>34277</v>
      </c>
      <c r="FG6" s="35">
        <f t="shared" ref="FG6:FG76" si="15">+EF6+ES6+FF6</f>
        <v>102831</v>
      </c>
      <c r="FH6" s="35">
        <f t="shared" ref="FH6:FH76" si="16">+AQ6+CE6+DS6+FG6</f>
        <v>402672</v>
      </c>
    </row>
    <row r="7" spans="1:164" x14ac:dyDescent="0.35">
      <c r="A7" s="34"/>
      <c r="B7" s="40"/>
      <c r="C7" s="41" t="s">
        <v>121</v>
      </c>
      <c r="D7" s="35"/>
      <c r="E7" s="35"/>
      <c r="F7" s="35"/>
      <c r="G7" s="35"/>
      <c r="H7" s="35"/>
      <c r="I7" s="35"/>
      <c r="J7" s="35">
        <v>28940</v>
      </c>
      <c r="K7" s="35">
        <v>750</v>
      </c>
      <c r="L7" s="35">
        <v>868</v>
      </c>
      <c r="M7" s="35"/>
      <c r="N7" s="35"/>
      <c r="O7" s="35"/>
      <c r="P7" s="35">
        <f t="shared" si="5"/>
        <v>30558</v>
      </c>
      <c r="Q7" s="35"/>
      <c r="R7" s="35"/>
      <c r="S7" s="35"/>
      <c r="T7" s="35"/>
      <c r="U7" s="35"/>
      <c r="V7" s="35"/>
      <c r="W7" s="35">
        <v>28940</v>
      </c>
      <c r="X7" s="35">
        <v>750</v>
      </c>
      <c r="Y7" s="35">
        <v>868</v>
      </c>
      <c r="Z7" s="35"/>
      <c r="AA7" s="35"/>
      <c r="AB7" s="35"/>
      <c r="AC7" s="35">
        <f t="shared" si="0"/>
        <v>30558</v>
      </c>
      <c r="AD7" s="35"/>
      <c r="AE7" s="35"/>
      <c r="AF7" s="35"/>
      <c r="AG7" s="35"/>
      <c r="AH7" s="35"/>
      <c r="AI7" s="35"/>
      <c r="AJ7" s="35">
        <v>28940</v>
      </c>
      <c r="AK7" s="35">
        <v>750</v>
      </c>
      <c r="AL7" s="35">
        <v>868</v>
      </c>
      <c r="AM7" s="35"/>
      <c r="AN7" s="35"/>
      <c r="AO7" s="35"/>
      <c r="AP7" s="35">
        <f t="shared" si="1"/>
        <v>30558</v>
      </c>
      <c r="AQ7" s="35">
        <f t="shared" si="2"/>
        <v>91674</v>
      </c>
      <c r="AR7" s="35"/>
      <c r="AS7" s="35"/>
      <c r="AT7" s="35"/>
      <c r="AU7" s="35"/>
      <c r="AV7" s="35"/>
      <c r="AW7" s="35"/>
      <c r="AX7" s="35">
        <v>28940</v>
      </c>
      <c r="AY7" s="35">
        <v>750</v>
      </c>
      <c r="AZ7" s="35">
        <v>868</v>
      </c>
      <c r="BA7" s="35"/>
      <c r="BB7" s="35"/>
      <c r="BC7" s="35"/>
      <c r="BD7" s="35">
        <f t="shared" si="6"/>
        <v>30558</v>
      </c>
      <c r="BE7" s="35"/>
      <c r="BF7" s="35"/>
      <c r="BG7" s="35"/>
      <c r="BH7" s="35"/>
      <c r="BI7" s="35"/>
      <c r="BJ7" s="35"/>
      <c r="BK7" s="35">
        <v>28940</v>
      </c>
      <c r="BL7" s="35">
        <v>750</v>
      </c>
      <c r="BM7" s="35">
        <v>868</v>
      </c>
      <c r="BN7" s="35"/>
      <c r="BO7" s="35"/>
      <c r="BP7" s="35"/>
      <c r="BQ7" s="35">
        <f t="shared" si="7"/>
        <v>30558</v>
      </c>
      <c r="BR7" s="35"/>
      <c r="BS7" s="35"/>
      <c r="BT7" s="35"/>
      <c r="BU7" s="35"/>
      <c r="BV7" s="35"/>
      <c r="BW7" s="35"/>
      <c r="BX7" s="35">
        <v>28940</v>
      </c>
      <c r="BY7" s="35">
        <v>750</v>
      </c>
      <c r="BZ7" s="35">
        <v>868</v>
      </c>
      <c r="CA7" s="35"/>
      <c r="CB7" s="35"/>
      <c r="CC7" s="35"/>
      <c r="CD7" s="35">
        <f t="shared" si="8"/>
        <v>30558</v>
      </c>
      <c r="CE7" s="35">
        <f t="shared" si="9"/>
        <v>91674</v>
      </c>
      <c r="CF7" s="35"/>
      <c r="CG7" s="35"/>
      <c r="CH7" s="35"/>
      <c r="CI7" s="35"/>
      <c r="CJ7" s="35"/>
      <c r="CK7" s="35"/>
      <c r="CL7" s="35">
        <f>30390+(1450*6)</f>
        <v>39090</v>
      </c>
      <c r="CM7" s="35">
        <v>750</v>
      </c>
      <c r="CN7" s="35">
        <f>912+(44*6)</f>
        <v>1176</v>
      </c>
      <c r="CO7" s="35"/>
      <c r="CP7" s="35"/>
      <c r="CQ7" s="35"/>
      <c r="CR7" s="35">
        <f t="shared" si="10"/>
        <v>41016</v>
      </c>
      <c r="CS7" s="35"/>
      <c r="CT7" s="35"/>
      <c r="CU7" s="35"/>
      <c r="CV7" s="35"/>
      <c r="CW7" s="35"/>
      <c r="CX7" s="35"/>
      <c r="CY7" s="35">
        <f>30390+2800*6</f>
        <v>47190</v>
      </c>
      <c r="CZ7" s="35">
        <v>750</v>
      </c>
      <c r="DA7" s="35">
        <f>912+84*6</f>
        <v>1416</v>
      </c>
      <c r="DB7" s="35"/>
      <c r="DC7" s="35"/>
      <c r="DD7" s="35"/>
      <c r="DE7" s="35">
        <f t="shared" si="3"/>
        <v>49356</v>
      </c>
      <c r="DF7" s="35"/>
      <c r="DG7" s="35"/>
      <c r="DH7" s="35"/>
      <c r="DI7" s="35"/>
      <c r="DJ7" s="35"/>
      <c r="DK7" s="35"/>
      <c r="DL7" s="35">
        <v>30390</v>
      </c>
      <c r="DM7" s="35">
        <v>750</v>
      </c>
      <c r="DN7" s="35">
        <v>912</v>
      </c>
      <c r="DO7" s="35"/>
      <c r="DP7" s="35"/>
      <c r="DQ7" s="35"/>
      <c r="DR7" s="35">
        <f t="shared" si="11"/>
        <v>32052</v>
      </c>
      <c r="DS7" s="35">
        <f t="shared" si="12"/>
        <v>122424</v>
      </c>
      <c r="DT7" s="35"/>
      <c r="DU7" s="35"/>
      <c r="DV7" s="35"/>
      <c r="DW7" s="35"/>
      <c r="DX7" s="35"/>
      <c r="DY7" s="35"/>
      <c r="DZ7" s="35">
        <v>33190</v>
      </c>
      <c r="EA7" s="35">
        <v>750</v>
      </c>
      <c r="EB7" s="35">
        <v>996</v>
      </c>
      <c r="EC7" s="35"/>
      <c r="ED7" s="35"/>
      <c r="EE7" s="35"/>
      <c r="EF7" s="35">
        <f t="shared" si="13"/>
        <v>34936</v>
      </c>
      <c r="EG7" s="35"/>
      <c r="EH7" s="35"/>
      <c r="EI7" s="35"/>
      <c r="EJ7" s="35"/>
      <c r="EK7" s="35"/>
      <c r="EL7" s="35"/>
      <c r="EM7" s="35">
        <v>33190</v>
      </c>
      <c r="EN7" s="35">
        <v>750</v>
      </c>
      <c r="EO7" s="35">
        <v>996</v>
      </c>
      <c r="EP7" s="35"/>
      <c r="EQ7" s="35"/>
      <c r="ER7" s="35"/>
      <c r="ES7" s="35">
        <f t="shared" si="4"/>
        <v>34936</v>
      </c>
      <c r="ET7" s="35"/>
      <c r="EU7" s="35"/>
      <c r="EV7" s="35"/>
      <c r="EW7" s="35"/>
      <c r="EX7" s="35"/>
      <c r="EY7" s="35"/>
      <c r="EZ7" s="35">
        <v>33190</v>
      </c>
      <c r="FA7" s="35">
        <v>750</v>
      </c>
      <c r="FB7" s="35">
        <v>996</v>
      </c>
      <c r="FC7" s="35"/>
      <c r="FD7" s="35"/>
      <c r="FE7" s="35"/>
      <c r="FF7" s="35">
        <f t="shared" si="14"/>
        <v>34936</v>
      </c>
      <c r="FG7" s="35">
        <f t="shared" si="15"/>
        <v>104808</v>
      </c>
      <c r="FH7" s="35">
        <f t="shared" si="16"/>
        <v>410580</v>
      </c>
    </row>
    <row r="8" spans="1:164" x14ac:dyDescent="0.35">
      <c r="A8" s="34"/>
      <c r="B8" s="40"/>
      <c r="C8" s="41" t="s">
        <v>123</v>
      </c>
      <c r="D8" s="35"/>
      <c r="E8" s="35"/>
      <c r="F8" s="35"/>
      <c r="G8" s="35"/>
      <c r="H8" s="35"/>
      <c r="I8" s="35"/>
      <c r="J8" s="35"/>
      <c r="K8" s="35"/>
      <c r="L8" s="35"/>
      <c r="M8" s="35">
        <v>22170</v>
      </c>
      <c r="N8" s="35">
        <v>750</v>
      </c>
      <c r="O8" s="35">
        <v>665</v>
      </c>
      <c r="P8" s="35">
        <f t="shared" si="5"/>
        <v>23585</v>
      </c>
      <c r="Q8" s="35"/>
      <c r="R8" s="35"/>
      <c r="S8" s="35"/>
      <c r="T8" s="35"/>
      <c r="U8" s="35"/>
      <c r="V8" s="35"/>
      <c r="W8" s="35"/>
      <c r="X8" s="35"/>
      <c r="Y8" s="35"/>
      <c r="Z8" s="35">
        <v>22170</v>
      </c>
      <c r="AA8" s="35">
        <v>750</v>
      </c>
      <c r="AB8" s="35">
        <v>665</v>
      </c>
      <c r="AC8" s="35">
        <f t="shared" si="0"/>
        <v>23585</v>
      </c>
      <c r="AD8" s="35"/>
      <c r="AE8" s="35"/>
      <c r="AF8" s="35"/>
      <c r="AG8" s="35"/>
      <c r="AH8" s="35"/>
      <c r="AI8" s="35"/>
      <c r="AJ8" s="35"/>
      <c r="AK8" s="35"/>
      <c r="AL8" s="35"/>
      <c r="AM8" s="35">
        <v>22170</v>
      </c>
      <c r="AN8" s="35">
        <v>750</v>
      </c>
      <c r="AO8" s="35">
        <v>665</v>
      </c>
      <c r="AP8" s="35">
        <f t="shared" si="1"/>
        <v>23585</v>
      </c>
      <c r="AQ8" s="35">
        <f t="shared" si="2"/>
        <v>70755</v>
      </c>
      <c r="AR8" s="35"/>
      <c r="AS8" s="35"/>
      <c r="AT8" s="35"/>
      <c r="AU8" s="35"/>
      <c r="AV8" s="35"/>
      <c r="AW8" s="35"/>
      <c r="AX8" s="35"/>
      <c r="AY8" s="35"/>
      <c r="AZ8" s="35"/>
      <c r="BA8" s="35">
        <v>22170</v>
      </c>
      <c r="BB8" s="35">
        <v>750</v>
      </c>
      <c r="BC8" s="35">
        <v>665</v>
      </c>
      <c r="BD8" s="35">
        <f t="shared" si="6"/>
        <v>23585</v>
      </c>
      <c r="BE8" s="35"/>
      <c r="BF8" s="35"/>
      <c r="BG8" s="35"/>
      <c r="BH8" s="35"/>
      <c r="BI8" s="35"/>
      <c r="BJ8" s="35"/>
      <c r="BK8" s="35"/>
      <c r="BL8" s="35"/>
      <c r="BM8" s="35"/>
      <c r="BN8" s="35">
        <v>22170</v>
      </c>
      <c r="BO8" s="35">
        <v>750</v>
      </c>
      <c r="BP8" s="35">
        <v>665</v>
      </c>
      <c r="BQ8" s="35">
        <f t="shared" si="7"/>
        <v>23585</v>
      </c>
      <c r="BR8" s="35"/>
      <c r="BS8" s="35"/>
      <c r="BT8" s="35"/>
      <c r="BU8" s="35"/>
      <c r="BV8" s="35"/>
      <c r="BW8" s="35"/>
      <c r="BX8" s="35"/>
      <c r="BY8" s="35"/>
      <c r="BZ8" s="35"/>
      <c r="CA8" s="35">
        <v>22170</v>
      </c>
      <c r="CB8" s="35">
        <v>750</v>
      </c>
      <c r="CC8" s="35">
        <v>665</v>
      </c>
      <c r="CD8" s="35">
        <f t="shared" si="8"/>
        <v>23585</v>
      </c>
      <c r="CE8" s="35">
        <f t="shared" si="9"/>
        <v>70755</v>
      </c>
      <c r="CF8" s="35"/>
      <c r="CG8" s="35"/>
      <c r="CH8" s="35"/>
      <c r="CI8" s="35"/>
      <c r="CJ8" s="35"/>
      <c r="CK8" s="35"/>
      <c r="CL8" s="35"/>
      <c r="CM8" s="35"/>
      <c r="CN8" s="35"/>
      <c r="CO8" s="35">
        <f>23280+(1110*6)</f>
        <v>29940</v>
      </c>
      <c r="CP8" s="35">
        <v>750</v>
      </c>
      <c r="CQ8" s="35">
        <f>698+(33*6)</f>
        <v>896</v>
      </c>
      <c r="CR8" s="35">
        <f t="shared" si="10"/>
        <v>31586</v>
      </c>
      <c r="CS8" s="35"/>
      <c r="CT8" s="35"/>
      <c r="CU8" s="35"/>
      <c r="CV8" s="35"/>
      <c r="CW8" s="35"/>
      <c r="CX8" s="35"/>
      <c r="CY8" s="35"/>
      <c r="CZ8" s="35"/>
      <c r="DA8" s="35"/>
      <c r="DB8" s="35">
        <f>23280+1200*6</f>
        <v>30480</v>
      </c>
      <c r="DC8" s="35">
        <v>750</v>
      </c>
      <c r="DD8" s="35">
        <f>698+36*6</f>
        <v>914</v>
      </c>
      <c r="DE8" s="35">
        <f t="shared" si="3"/>
        <v>32144</v>
      </c>
      <c r="DF8" s="35"/>
      <c r="DG8" s="35"/>
      <c r="DH8" s="35"/>
      <c r="DI8" s="35"/>
      <c r="DJ8" s="35"/>
      <c r="DK8" s="35"/>
      <c r="DL8" s="35"/>
      <c r="DM8" s="35"/>
      <c r="DN8" s="35"/>
      <c r="DO8" s="35">
        <v>23280</v>
      </c>
      <c r="DP8" s="35">
        <v>750</v>
      </c>
      <c r="DQ8" s="35">
        <v>698</v>
      </c>
      <c r="DR8" s="35">
        <f t="shared" si="11"/>
        <v>24728</v>
      </c>
      <c r="DS8" s="35">
        <f t="shared" si="12"/>
        <v>88458</v>
      </c>
      <c r="DT8" s="35"/>
      <c r="DU8" s="35"/>
      <c r="DV8" s="35"/>
      <c r="DW8" s="35"/>
      <c r="DX8" s="35"/>
      <c r="DY8" s="35"/>
      <c r="DZ8" s="35"/>
      <c r="EA8" s="35"/>
      <c r="EB8" s="35"/>
      <c r="EC8" s="35">
        <v>24480</v>
      </c>
      <c r="ED8" s="35">
        <v>750</v>
      </c>
      <c r="EE8" s="35">
        <v>734</v>
      </c>
      <c r="EF8" s="35">
        <f t="shared" si="13"/>
        <v>25964</v>
      </c>
      <c r="EG8" s="35"/>
      <c r="EH8" s="35"/>
      <c r="EI8" s="35"/>
      <c r="EJ8" s="35"/>
      <c r="EK8" s="35"/>
      <c r="EL8" s="35"/>
      <c r="EM8" s="35"/>
      <c r="EN8" s="35"/>
      <c r="EO8" s="35"/>
      <c r="EP8" s="35">
        <v>24480</v>
      </c>
      <c r="EQ8" s="35">
        <v>750</v>
      </c>
      <c r="ER8" s="35">
        <v>734</v>
      </c>
      <c r="ES8" s="35">
        <f t="shared" si="4"/>
        <v>25964</v>
      </c>
      <c r="ET8" s="35"/>
      <c r="EU8" s="35"/>
      <c r="EV8" s="35"/>
      <c r="EW8" s="35"/>
      <c r="EX8" s="35"/>
      <c r="EY8" s="35"/>
      <c r="EZ8" s="35"/>
      <c r="FA8" s="35"/>
      <c r="FB8" s="35"/>
      <c r="FC8" s="35">
        <v>24480</v>
      </c>
      <c r="FD8" s="35">
        <v>750</v>
      </c>
      <c r="FE8" s="35">
        <v>734</v>
      </c>
      <c r="FF8" s="35">
        <f t="shared" si="14"/>
        <v>25964</v>
      </c>
      <c r="FG8" s="35">
        <f t="shared" si="15"/>
        <v>77892</v>
      </c>
      <c r="FH8" s="35">
        <f t="shared" si="16"/>
        <v>307860</v>
      </c>
    </row>
    <row r="9" spans="1:164" x14ac:dyDescent="0.35">
      <c r="A9" s="34"/>
      <c r="B9" s="40"/>
      <c r="C9" s="41" t="s">
        <v>124</v>
      </c>
      <c r="D9" s="35"/>
      <c r="E9" s="35"/>
      <c r="F9" s="35"/>
      <c r="G9" s="35"/>
      <c r="H9" s="35"/>
      <c r="I9" s="35"/>
      <c r="J9" s="35"/>
      <c r="K9" s="35"/>
      <c r="L9" s="35"/>
      <c r="M9" s="35">
        <v>22170</v>
      </c>
      <c r="N9" s="35">
        <v>750</v>
      </c>
      <c r="O9" s="35">
        <v>665</v>
      </c>
      <c r="P9" s="35">
        <f t="shared" si="5"/>
        <v>23585</v>
      </c>
      <c r="Q9" s="35"/>
      <c r="R9" s="35"/>
      <c r="S9" s="35"/>
      <c r="T9" s="35"/>
      <c r="U9" s="35"/>
      <c r="V9" s="35"/>
      <c r="W9" s="35"/>
      <c r="X9" s="35"/>
      <c r="Y9" s="35"/>
      <c r="Z9" s="35">
        <v>22170</v>
      </c>
      <c r="AA9" s="35">
        <v>750</v>
      </c>
      <c r="AB9" s="35">
        <v>665</v>
      </c>
      <c r="AC9" s="35">
        <f t="shared" si="0"/>
        <v>23585</v>
      </c>
      <c r="AD9" s="35"/>
      <c r="AE9" s="35"/>
      <c r="AF9" s="35"/>
      <c r="AG9" s="35"/>
      <c r="AH9" s="35"/>
      <c r="AI9" s="35"/>
      <c r="AJ9" s="35"/>
      <c r="AK9" s="35"/>
      <c r="AL9" s="35"/>
      <c r="AM9" s="35">
        <v>22170</v>
      </c>
      <c r="AN9" s="35">
        <v>750</v>
      </c>
      <c r="AO9" s="35">
        <v>665</v>
      </c>
      <c r="AP9" s="35">
        <f t="shared" si="1"/>
        <v>23585</v>
      </c>
      <c r="AQ9" s="35">
        <f t="shared" si="2"/>
        <v>70755</v>
      </c>
      <c r="AR9" s="35"/>
      <c r="AS9" s="35"/>
      <c r="AT9" s="35"/>
      <c r="AU9" s="35"/>
      <c r="AV9" s="35"/>
      <c r="AW9" s="35"/>
      <c r="AX9" s="35"/>
      <c r="AY9" s="35"/>
      <c r="AZ9" s="35"/>
      <c r="BA9" s="35">
        <v>22170</v>
      </c>
      <c r="BB9" s="35">
        <v>750</v>
      </c>
      <c r="BC9" s="35">
        <v>665</v>
      </c>
      <c r="BD9" s="35">
        <f t="shared" si="6"/>
        <v>23585</v>
      </c>
      <c r="BE9" s="35"/>
      <c r="BF9" s="35"/>
      <c r="BG9" s="35"/>
      <c r="BH9" s="35"/>
      <c r="BI9" s="35"/>
      <c r="BJ9" s="35"/>
      <c r="BK9" s="35"/>
      <c r="BL9" s="35"/>
      <c r="BM9" s="35"/>
      <c r="BN9" s="35">
        <v>22170</v>
      </c>
      <c r="BO9" s="35">
        <v>750</v>
      </c>
      <c r="BP9" s="35">
        <v>665</v>
      </c>
      <c r="BQ9" s="35">
        <f t="shared" si="7"/>
        <v>23585</v>
      </c>
      <c r="BR9" s="35"/>
      <c r="BS9" s="35"/>
      <c r="BT9" s="35"/>
      <c r="BU9" s="35"/>
      <c r="BV9" s="35"/>
      <c r="BW9" s="35"/>
      <c r="BX9" s="35"/>
      <c r="BY9" s="35"/>
      <c r="BZ9" s="35"/>
      <c r="CA9" s="35">
        <v>22170</v>
      </c>
      <c r="CB9" s="35">
        <v>750</v>
      </c>
      <c r="CC9" s="35">
        <v>665</v>
      </c>
      <c r="CD9" s="35">
        <f t="shared" si="8"/>
        <v>23585</v>
      </c>
      <c r="CE9" s="35">
        <f t="shared" si="9"/>
        <v>70755</v>
      </c>
      <c r="CF9" s="35"/>
      <c r="CG9" s="35"/>
      <c r="CH9" s="35"/>
      <c r="CI9" s="35"/>
      <c r="CJ9" s="35"/>
      <c r="CK9" s="35"/>
      <c r="CL9" s="35"/>
      <c r="CM9" s="35"/>
      <c r="CN9" s="35"/>
      <c r="CO9" s="35">
        <f>23280+(1110*6)</f>
        <v>29940</v>
      </c>
      <c r="CP9" s="35">
        <v>750</v>
      </c>
      <c r="CQ9" s="35">
        <f>698+(33*6)</f>
        <v>896</v>
      </c>
      <c r="CR9" s="35">
        <f t="shared" si="10"/>
        <v>31586</v>
      </c>
      <c r="CS9" s="35"/>
      <c r="CT9" s="35"/>
      <c r="CU9" s="35"/>
      <c r="CV9" s="35"/>
      <c r="CW9" s="35"/>
      <c r="CX9" s="35"/>
      <c r="CY9" s="35"/>
      <c r="CZ9" s="35"/>
      <c r="DA9" s="35"/>
      <c r="DB9" s="35">
        <f>23280+1200*6</f>
        <v>30480</v>
      </c>
      <c r="DC9" s="35">
        <v>750</v>
      </c>
      <c r="DD9" s="35">
        <f>698+36*6</f>
        <v>914</v>
      </c>
      <c r="DE9" s="35">
        <f t="shared" si="3"/>
        <v>32144</v>
      </c>
      <c r="DF9" s="35"/>
      <c r="DG9" s="35"/>
      <c r="DH9" s="35"/>
      <c r="DI9" s="35"/>
      <c r="DJ9" s="35"/>
      <c r="DK9" s="35"/>
      <c r="DL9" s="35"/>
      <c r="DM9" s="35"/>
      <c r="DN9" s="35"/>
      <c r="DO9" s="35">
        <v>23280</v>
      </c>
      <c r="DP9" s="35">
        <v>750</v>
      </c>
      <c r="DQ9" s="35">
        <v>698</v>
      </c>
      <c r="DR9" s="35">
        <f t="shared" si="11"/>
        <v>24728</v>
      </c>
      <c r="DS9" s="35">
        <f t="shared" si="12"/>
        <v>88458</v>
      </c>
      <c r="DT9" s="35"/>
      <c r="DU9" s="35"/>
      <c r="DV9" s="35"/>
      <c r="DW9" s="35"/>
      <c r="DX9" s="35"/>
      <c r="DY9" s="35"/>
      <c r="DZ9" s="35"/>
      <c r="EA9" s="35"/>
      <c r="EB9" s="35"/>
      <c r="EC9" s="35">
        <v>24480</v>
      </c>
      <c r="ED9" s="35">
        <v>750</v>
      </c>
      <c r="EE9" s="35">
        <v>734</v>
      </c>
      <c r="EF9" s="35">
        <f t="shared" si="13"/>
        <v>25964</v>
      </c>
      <c r="EG9" s="35"/>
      <c r="EH9" s="35"/>
      <c r="EI9" s="35"/>
      <c r="EJ9" s="35"/>
      <c r="EK9" s="35"/>
      <c r="EL9" s="35"/>
      <c r="EM9" s="35"/>
      <c r="EN9" s="35"/>
      <c r="EO9" s="35"/>
      <c r="EP9" s="35">
        <v>24480</v>
      </c>
      <c r="EQ9" s="35">
        <v>750</v>
      </c>
      <c r="ER9" s="35">
        <v>734</v>
      </c>
      <c r="ES9" s="35">
        <f t="shared" si="4"/>
        <v>25964</v>
      </c>
      <c r="ET9" s="35"/>
      <c r="EU9" s="35"/>
      <c r="EV9" s="35"/>
      <c r="EW9" s="35"/>
      <c r="EX9" s="35"/>
      <c r="EY9" s="35"/>
      <c r="EZ9" s="35"/>
      <c r="FA9" s="35"/>
      <c r="FB9" s="35"/>
      <c r="FC9" s="35">
        <v>24480</v>
      </c>
      <c r="FD9" s="35">
        <v>750</v>
      </c>
      <c r="FE9" s="35">
        <v>734</v>
      </c>
      <c r="FF9" s="35">
        <f t="shared" si="14"/>
        <v>25964</v>
      </c>
      <c r="FG9" s="35">
        <f t="shared" si="15"/>
        <v>77892</v>
      </c>
      <c r="FH9" s="35">
        <f t="shared" si="16"/>
        <v>307860</v>
      </c>
    </row>
    <row r="10" spans="1:164" x14ac:dyDescent="0.35">
      <c r="A10" s="34"/>
      <c r="B10" s="40"/>
      <c r="C10" s="41" t="s">
        <v>125</v>
      </c>
      <c r="D10" s="35"/>
      <c r="E10" s="35"/>
      <c r="F10" s="35"/>
      <c r="G10" s="35"/>
      <c r="H10" s="35"/>
      <c r="I10" s="35"/>
      <c r="J10" s="35">
        <v>27360</v>
      </c>
      <c r="K10" s="35">
        <v>750</v>
      </c>
      <c r="L10" s="35">
        <v>821</v>
      </c>
      <c r="M10" s="35"/>
      <c r="N10" s="35"/>
      <c r="O10" s="35"/>
      <c r="P10" s="35">
        <f t="shared" si="5"/>
        <v>28931</v>
      </c>
      <c r="Q10" s="35"/>
      <c r="R10" s="35"/>
      <c r="S10" s="35"/>
      <c r="T10" s="35"/>
      <c r="U10" s="35"/>
      <c r="V10" s="35"/>
      <c r="W10" s="35">
        <v>27360</v>
      </c>
      <c r="X10" s="35">
        <v>750</v>
      </c>
      <c r="Y10" s="35">
        <v>821</v>
      </c>
      <c r="Z10" s="35"/>
      <c r="AA10" s="35"/>
      <c r="AB10" s="35"/>
      <c r="AC10" s="35">
        <f t="shared" si="0"/>
        <v>28931</v>
      </c>
      <c r="AD10" s="35"/>
      <c r="AE10" s="35"/>
      <c r="AF10" s="35"/>
      <c r="AG10" s="35"/>
      <c r="AH10" s="35"/>
      <c r="AI10" s="35"/>
      <c r="AJ10" s="35">
        <v>27360</v>
      </c>
      <c r="AK10" s="35">
        <v>750</v>
      </c>
      <c r="AL10" s="35">
        <v>821</v>
      </c>
      <c r="AM10" s="35"/>
      <c r="AN10" s="35"/>
      <c r="AO10" s="35"/>
      <c r="AP10" s="35">
        <f t="shared" si="1"/>
        <v>28931</v>
      </c>
      <c r="AQ10" s="35">
        <f t="shared" si="2"/>
        <v>86793</v>
      </c>
      <c r="AR10" s="35"/>
      <c r="AS10" s="35"/>
      <c r="AT10" s="35"/>
      <c r="AU10" s="35"/>
      <c r="AV10" s="35"/>
      <c r="AW10" s="35"/>
      <c r="AX10" s="35">
        <v>27360</v>
      </c>
      <c r="AY10" s="35">
        <v>750</v>
      </c>
      <c r="AZ10" s="35">
        <v>821</v>
      </c>
      <c r="BA10" s="35"/>
      <c r="BB10" s="35"/>
      <c r="BC10" s="35"/>
      <c r="BD10" s="35">
        <f t="shared" si="6"/>
        <v>28931</v>
      </c>
      <c r="BE10" s="35"/>
      <c r="BF10" s="35"/>
      <c r="BG10" s="35"/>
      <c r="BH10" s="35"/>
      <c r="BI10" s="35"/>
      <c r="BJ10" s="35"/>
      <c r="BK10" s="35">
        <v>27360</v>
      </c>
      <c r="BL10" s="35">
        <v>750</v>
      </c>
      <c r="BM10" s="35">
        <v>821</v>
      </c>
      <c r="BN10" s="35"/>
      <c r="BO10" s="35"/>
      <c r="BP10" s="35"/>
      <c r="BQ10" s="35">
        <f t="shared" si="7"/>
        <v>28931</v>
      </c>
      <c r="BR10" s="35"/>
      <c r="BS10" s="35"/>
      <c r="BT10" s="35"/>
      <c r="BU10" s="35"/>
      <c r="BV10" s="35"/>
      <c r="BW10" s="35"/>
      <c r="BX10" s="35">
        <v>27360</v>
      </c>
      <c r="BY10" s="35">
        <v>750</v>
      </c>
      <c r="BZ10" s="35">
        <v>821</v>
      </c>
      <c r="CA10" s="35"/>
      <c r="CB10" s="35"/>
      <c r="CC10" s="35"/>
      <c r="CD10" s="35">
        <f t="shared" si="8"/>
        <v>28931</v>
      </c>
      <c r="CE10" s="35">
        <f t="shared" si="9"/>
        <v>86793</v>
      </c>
      <c r="CF10" s="35"/>
      <c r="CG10" s="35"/>
      <c r="CH10" s="35"/>
      <c r="CI10" s="35"/>
      <c r="CJ10" s="35"/>
      <c r="CK10" s="35"/>
      <c r="CL10" s="35">
        <f>28730+(1370*6)</f>
        <v>36950</v>
      </c>
      <c r="CM10" s="35">
        <v>750</v>
      </c>
      <c r="CN10" s="35">
        <f>862+(41*6)</f>
        <v>1108</v>
      </c>
      <c r="CO10" s="35"/>
      <c r="CP10" s="35"/>
      <c r="CQ10" s="35"/>
      <c r="CR10" s="35">
        <f t="shared" si="10"/>
        <v>38808</v>
      </c>
      <c r="CS10" s="35"/>
      <c r="CT10" s="35"/>
      <c r="CU10" s="35"/>
      <c r="CV10" s="35"/>
      <c r="CW10" s="35"/>
      <c r="CX10" s="35"/>
      <c r="CY10" s="35">
        <f>28730+2800*6</f>
        <v>45530</v>
      </c>
      <c r="CZ10" s="35">
        <v>750</v>
      </c>
      <c r="DA10" s="35">
        <f>862+84*6</f>
        <v>1366</v>
      </c>
      <c r="DB10" s="35"/>
      <c r="DC10" s="35"/>
      <c r="DD10" s="35"/>
      <c r="DE10" s="35">
        <f t="shared" si="3"/>
        <v>47646</v>
      </c>
      <c r="DF10" s="35"/>
      <c r="DG10" s="35"/>
      <c r="DH10" s="35"/>
      <c r="DI10" s="35"/>
      <c r="DJ10" s="35"/>
      <c r="DK10" s="35"/>
      <c r="DL10" s="35">
        <v>28730</v>
      </c>
      <c r="DM10" s="35">
        <v>750</v>
      </c>
      <c r="DN10" s="35">
        <v>862</v>
      </c>
      <c r="DO10" s="35"/>
      <c r="DP10" s="35"/>
      <c r="DQ10" s="35"/>
      <c r="DR10" s="35">
        <f t="shared" si="11"/>
        <v>30342</v>
      </c>
      <c r="DS10" s="35">
        <f t="shared" si="12"/>
        <v>116796</v>
      </c>
      <c r="DT10" s="35"/>
      <c r="DU10" s="35"/>
      <c r="DV10" s="35"/>
      <c r="DW10" s="35"/>
      <c r="DX10" s="35"/>
      <c r="DY10" s="35"/>
      <c r="DZ10" s="35">
        <v>31530</v>
      </c>
      <c r="EA10" s="35">
        <v>750</v>
      </c>
      <c r="EB10" s="35">
        <v>946</v>
      </c>
      <c r="EC10" s="35"/>
      <c r="ED10" s="35"/>
      <c r="EE10" s="35"/>
      <c r="EF10" s="35">
        <f t="shared" si="13"/>
        <v>33226</v>
      </c>
      <c r="EG10" s="35"/>
      <c r="EH10" s="35"/>
      <c r="EI10" s="35"/>
      <c r="EJ10" s="35"/>
      <c r="EK10" s="35"/>
      <c r="EL10" s="35"/>
      <c r="EM10" s="35">
        <v>31530</v>
      </c>
      <c r="EN10" s="35">
        <v>750</v>
      </c>
      <c r="EO10" s="35">
        <v>946</v>
      </c>
      <c r="EP10" s="35"/>
      <c r="EQ10" s="35"/>
      <c r="ER10" s="35"/>
      <c r="ES10" s="35">
        <f t="shared" si="4"/>
        <v>33226</v>
      </c>
      <c r="ET10" s="35"/>
      <c r="EU10" s="35"/>
      <c r="EV10" s="35"/>
      <c r="EW10" s="35"/>
      <c r="EX10" s="35"/>
      <c r="EY10" s="35"/>
      <c r="EZ10" s="35">
        <v>31530</v>
      </c>
      <c r="FA10" s="35">
        <v>750</v>
      </c>
      <c r="FB10" s="35">
        <v>946</v>
      </c>
      <c r="FC10" s="35"/>
      <c r="FD10" s="35"/>
      <c r="FE10" s="35"/>
      <c r="FF10" s="35">
        <f t="shared" si="14"/>
        <v>33226</v>
      </c>
      <c r="FG10" s="35">
        <f t="shared" si="15"/>
        <v>99678</v>
      </c>
      <c r="FH10" s="35">
        <f t="shared" si="16"/>
        <v>390060</v>
      </c>
    </row>
    <row r="11" spans="1:164" x14ac:dyDescent="0.35">
      <c r="A11" s="34"/>
      <c r="B11" s="40"/>
      <c r="C11" s="41" t="s">
        <v>126</v>
      </c>
      <c r="D11" s="35"/>
      <c r="E11" s="35"/>
      <c r="F11" s="35"/>
      <c r="G11" s="35"/>
      <c r="H11" s="35"/>
      <c r="I11" s="35"/>
      <c r="J11" s="35">
        <v>27870</v>
      </c>
      <c r="K11" s="35">
        <v>750</v>
      </c>
      <c r="L11" s="35">
        <v>836</v>
      </c>
      <c r="M11" s="35"/>
      <c r="N11" s="35"/>
      <c r="O11" s="35"/>
      <c r="P11" s="35">
        <f t="shared" si="5"/>
        <v>29456</v>
      </c>
      <c r="Q11" s="35"/>
      <c r="R11" s="35"/>
      <c r="S11" s="35"/>
      <c r="T11" s="35"/>
      <c r="U11" s="35"/>
      <c r="V11" s="35"/>
      <c r="W11" s="35">
        <v>27870</v>
      </c>
      <c r="X11" s="35">
        <v>750</v>
      </c>
      <c r="Y11" s="35">
        <v>836</v>
      </c>
      <c r="Z11" s="35"/>
      <c r="AA11" s="35"/>
      <c r="AB11" s="35"/>
      <c r="AC11" s="35">
        <f t="shared" si="0"/>
        <v>29456</v>
      </c>
      <c r="AD11" s="35"/>
      <c r="AE11" s="35"/>
      <c r="AF11" s="35"/>
      <c r="AG11" s="35"/>
      <c r="AH11" s="35"/>
      <c r="AI11" s="35"/>
      <c r="AJ11" s="35">
        <v>27870</v>
      </c>
      <c r="AK11" s="35">
        <v>750</v>
      </c>
      <c r="AL11" s="35">
        <v>836</v>
      </c>
      <c r="AM11" s="35"/>
      <c r="AN11" s="35"/>
      <c r="AO11" s="35"/>
      <c r="AP11" s="35">
        <f t="shared" si="1"/>
        <v>29456</v>
      </c>
      <c r="AQ11" s="35">
        <f t="shared" si="2"/>
        <v>88368</v>
      </c>
      <c r="AR11" s="35"/>
      <c r="AS11" s="35"/>
      <c r="AT11" s="35"/>
      <c r="AU11" s="35"/>
      <c r="AV11" s="35"/>
      <c r="AW11" s="35"/>
      <c r="AX11" s="35">
        <v>27870</v>
      </c>
      <c r="AY11" s="35">
        <v>750</v>
      </c>
      <c r="AZ11" s="35">
        <v>836</v>
      </c>
      <c r="BA11" s="35"/>
      <c r="BB11" s="35"/>
      <c r="BC11" s="35"/>
      <c r="BD11" s="35">
        <f t="shared" si="6"/>
        <v>29456</v>
      </c>
      <c r="BE11" s="35"/>
      <c r="BF11" s="35"/>
      <c r="BG11" s="35"/>
      <c r="BH11" s="35"/>
      <c r="BI11" s="35"/>
      <c r="BJ11" s="35"/>
      <c r="BK11" s="35">
        <v>27870</v>
      </c>
      <c r="BL11" s="35">
        <v>750</v>
      </c>
      <c r="BM11" s="35">
        <v>836</v>
      </c>
      <c r="BN11" s="35"/>
      <c r="BO11" s="35"/>
      <c r="BP11" s="35"/>
      <c r="BQ11" s="35">
        <f t="shared" si="7"/>
        <v>29456</v>
      </c>
      <c r="BR11" s="35"/>
      <c r="BS11" s="35"/>
      <c r="BT11" s="35"/>
      <c r="BU11" s="35"/>
      <c r="BV11" s="35"/>
      <c r="BW11" s="35"/>
      <c r="BX11" s="35">
        <v>27870</v>
      </c>
      <c r="BY11" s="35">
        <v>750</v>
      </c>
      <c r="BZ11" s="35">
        <v>836</v>
      </c>
      <c r="CA11" s="35"/>
      <c r="CB11" s="35"/>
      <c r="CC11" s="35"/>
      <c r="CD11" s="35">
        <f t="shared" si="8"/>
        <v>29456</v>
      </c>
      <c r="CE11" s="35">
        <f t="shared" si="9"/>
        <v>88368</v>
      </c>
      <c r="CF11" s="35"/>
      <c r="CG11" s="35"/>
      <c r="CH11" s="35"/>
      <c r="CI11" s="35"/>
      <c r="CJ11" s="35"/>
      <c r="CK11" s="35"/>
      <c r="CL11" s="35">
        <f>29270+(1400*6)</f>
        <v>37670</v>
      </c>
      <c r="CM11" s="35">
        <v>750</v>
      </c>
      <c r="CN11" s="35">
        <f>878+(42*6)</f>
        <v>1130</v>
      </c>
      <c r="CO11" s="35"/>
      <c r="CP11" s="35"/>
      <c r="CQ11" s="35"/>
      <c r="CR11" s="35">
        <f t="shared" si="10"/>
        <v>39550</v>
      </c>
      <c r="CS11" s="35"/>
      <c r="CT11" s="35"/>
      <c r="CU11" s="35"/>
      <c r="CV11" s="35"/>
      <c r="CW11" s="35"/>
      <c r="CX11" s="35"/>
      <c r="CY11" s="35">
        <f>29270+2800*6</f>
        <v>46070</v>
      </c>
      <c r="CZ11" s="35">
        <v>750</v>
      </c>
      <c r="DA11" s="35">
        <f>878+84*6</f>
        <v>1382</v>
      </c>
      <c r="DB11" s="35"/>
      <c r="DC11" s="35"/>
      <c r="DD11" s="35"/>
      <c r="DE11" s="35">
        <f t="shared" si="3"/>
        <v>48202</v>
      </c>
      <c r="DF11" s="35"/>
      <c r="DG11" s="35"/>
      <c r="DH11" s="35"/>
      <c r="DI11" s="35"/>
      <c r="DJ11" s="35"/>
      <c r="DK11" s="35"/>
      <c r="DL11" s="35">
        <v>29270</v>
      </c>
      <c r="DM11" s="35">
        <v>750</v>
      </c>
      <c r="DN11" s="35">
        <v>878</v>
      </c>
      <c r="DO11" s="35"/>
      <c r="DP11" s="35"/>
      <c r="DQ11" s="35"/>
      <c r="DR11" s="35">
        <f t="shared" si="11"/>
        <v>30898</v>
      </c>
      <c r="DS11" s="35">
        <f t="shared" si="12"/>
        <v>118650</v>
      </c>
      <c r="DT11" s="35"/>
      <c r="DU11" s="35"/>
      <c r="DV11" s="35"/>
      <c r="DW11" s="35"/>
      <c r="DX11" s="35"/>
      <c r="DY11" s="35"/>
      <c r="DZ11" s="35">
        <v>32070</v>
      </c>
      <c r="EA11" s="35">
        <v>750</v>
      </c>
      <c r="EB11" s="35">
        <v>962</v>
      </c>
      <c r="EC11" s="35"/>
      <c r="ED11" s="35"/>
      <c r="EE11" s="35"/>
      <c r="EF11" s="35">
        <f t="shared" si="13"/>
        <v>33782</v>
      </c>
      <c r="EG11" s="35"/>
      <c r="EH11" s="35"/>
      <c r="EI11" s="35"/>
      <c r="EJ11" s="35"/>
      <c r="EK11" s="35"/>
      <c r="EL11" s="35"/>
      <c r="EM11" s="35">
        <v>32070</v>
      </c>
      <c r="EN11" s="35">
        <v>750</v>
      </c>
      <c r="EO11" s="35">
        <v>962</v>
      </c>
      <c r="EP11" s="35"/>
      <c r="EQ11" s="35"/>
      <c r="ER11" s="35"/>
      <c r="ES11" s="35">
        <f t="shared" si="4"/>
        <v>33782</v>
      </c>
      <c r="ET11" s="35"/>
      <c r="EU11" s="35"/>
      <c r="EV11" s="35"/>
      <c r="EW11" s="35"/>
      <c r="EX11" s="35"/>
      <c r="EY11" s="35"/>
      <c r="EZ11" s="35">
        <v>32070</v>
      </c>
      <c r="FA11" s="35">
        <v>750</v>
      </c>
      <c r="FB11" s="35">
        <v>962</v>
      </c>
      <c r="FC11" s="35"/>
      <c r="FD11" s="35"/>
      <c r="FE11" s="35"/>
      <c r="FF11" s="35">
        <f t="shared" si="14"/>
        <v>33782</v>
      </c>
      <c r="FG11" s="35">
        <f t="shared" si="15"/>
        <v>101346</v>
      </c>
      <c r="FH11" s="35">
        <f t="shared" si="16"/>
        <v>396732</v>
      </c>
    </row>
    <row r="12" spans="1:164" x14ac:dyDescent="0.35">
      <c r="A12" s="34"/>
      <c r="B12" s="40"/>
      <c r="C12" s="41" t="s">
        <v>127</v>
      </c>
      <c r="D12" s="35"/>
      <c r="E12" s="35"/>
      <c r="F12" s="35"/>
      <c r="G12" s="35"/>
      <c r="H12" s="35"/>
      <c r="I12" s="35"/>
      <c r="J12" s="35">
        <v>27870</v>
      </c>
      <c r="K12" s="35">
        <v>750</v>
      </c>
      <c r="L12" s="35">
        <v>0</v>
      </c>
      <c r="M12" s="35"/>
      <c r="N12" s="35"/>
      <c r="O12" s="35"/>
      <c r="P12" s="35">
        <f t="shared" si="5"/>
        <v>28620</v>
      </c>
      <c r="Q12" s="35"/>
      <c r="R12" s="35"/>
      <c r="S12" s="35"/>
      <c r="T12" s="35"/>
      <c r="U12" s="35"/>
      <c r="V12" s="35"/>
      <c r="W12" s="35">
        <v>27870</v>
      </c>
      <c r="X12" s="35">
        <v>750</v>
      </c>
      <c r="Y12" s="35">
        <v>0</v>
      </c>
      <c r="Z12" s="35"/>
      <c r="AA12" s="35"/>
      <c r="AB12" s="35"/>
      <c r="AC12" s="35">
        <f t="shared" si="0"/>
        <v>28620</v>
      </c>
      <c r="AD12" s="35"/>
      <c r="AE12" s="35"/>
      <c r="AF12" s="35"/>
      <c r="AG12" s="35"/>
      <c r="AH12" s="35"/>
      <c r="AI12" s="35"/>
      <c r="AJ12" s="35">
        <v>27870</v>
      </c>
      <c r="AK12" s="35">
        <v>750</v>
      </c>
      <c r="AL12" s="35">
        <v>0</v>
      </c>
      <c r="AM12" s="35"/>
      <c r="AN12" s="35"/>
      <c r="AO12" s="35"/>
      <c r="AP12" s="35">
        <f t="shared" si="1"/>
        <v>28620</v>
      </c>
      <c r="AQ12" s="35">
        <f t="shared" si="2"/>
        <v>85860</v>
      </c>
      <c r="AR12" s="35"/>
      <c r="AS12" s="35"/>
      <c r="AT12" s="35"/>
      <c r="AU12" s="35"/>
      <c r="AV12" s="35"/>
      <c r="AW12" s="35"/>
      <c r="AX12" s="35">
        <v>27870</v>
      </c>
      <c r="AY12" s="35">
        <v>750</v>
      </c>
      <c r="AZ12" s="35">
        <v>0</v>
      </c>
      <c r="BA12" s="35"/>
      <c r="BB12" s="35"/>
      <c r="BC12" s="35"/>
      <c r="BD12" s="35">
        <f t="shared" si="6"/>
        <v>28620</v>
      </c>
      <c r="BE12" s="35"/>
      <c r="BF12" s="35"/>
      <c r="BG12" s="35"/>
      <c r="BH12" s="35"/>
      <c r="BI12" s="35"/>
      <c r="BJ12" s="35"/>
      <c r="BK12" s="35">
        <v>27870</v>
      </c>
      <c r="BL12" s="35">
        <v>750</v>
      </c>
      <c r="BM12" s="35">
        <v>0</v>
      </c>
      <c r="BN12" s="35"/>
      <c r="BO12" s="35"/>
      <c r="BP12" s="35"/>
      <c r="BQ12" s="35">
        <f t="shared" si="7"/>
        <v>28620</v>
      </c>
      <c r="BR12" s="35"/>
      <c r="BS12" s="35"/>
      <c r="BT12" s="35"/>
      <c r="BU12" s="35"/>
      <c r="BV12" s="35"/>
      <c r="BW12" s="35"/>
      <c r="BX12" s="35">
        <v>27870</v>
      </c>
      <c r="BY12" s="35">
        <v>750</v>
      </c>
      <c r="BZ12" s="35">
        <v>0</v>
      </c>
      <c r="CA12" s="35"/>
      <c r="CB12" s="35"/>
      <c r="CC12" s="35"/>
      <c r="CD12" s="35">
        <f t="shared" si="8"/>
        <v>28620</v>
      </c>
      <c r="CE12" s="35">
        <f t="shared" si="9"/>
        <v>85860</v>
      </c>
      <c r="CF12" s="35"/>
      <c r="CG12" s="35"/>
      <c r="CH12" s="35"/>
      <c r="CI12" s="35"/>
      <c r="CJ12" s="35"/>
      <c r="CK12" s="35"/>
      <c r="CL12" s="35">
        <f>29270+(1400*6)</f>
        <v>37670</v>
      </c>
      <c r="CM12" s="35">
        <v>750</v>
      </c>
      <c r="CN12" s="35">
        <v>0</v>
      </c>
      <c r="CO12" s="35"/>
      <c r="CP12" s="35"/>
      <c r="CQ12" s="35"/>
      <c r="CR12" s="35">
        <f t="shared" si="10"/>
        <v>38420</v>
      </c>
      <c r="CS12" s="35"/>
      <c r="CT12" s="35"/>
      <c r="CU12" s="35"/>
      <c r="CV12" s="35"/>
      <c r="CW12" s="35"/>
      <c r="CX12" s="35"/>
      <c r="CY12" s="35">
        <f>29270+2800*6</f>
        <v>46070</v>
      </c>
      <c r="CZ12" s="35">
        <v>750</v>
      </c>
      <c r="DA12" s="35">
        <v>0</v>
      </c>
      <c r="DB12" s="35"/>
      <c r="DC12" s="35"/>
      <c r="DD12" s="35"/>
      <c r="DE12" s="35">
        <f t="shared" si="3"/>
        <v>46820</v>
      </c>
      <c r="DF12" s="35"/>
      <c r="DG12" s="35"/>
      <c r="DH12" s="35"/>
      <c r="DI12" s="35"/>
      <c r="DJ12" s="35"/>
      <c r="DK12" s="35"/>
      <c r="DL12" s="35">
        <v>29270</v>
      </c>
      <c r="DM12" s="35">
        <v>750</v>
      </c>
      <c r="DN12" s="35">
        <v>0</v>
      </c>
      <c r="DO12" s="35"/>
      <c r="DP12" s="35"/>
      <c r="DQ12" s="35"/>
      <c r="DR12" s="35">
        <f t="shared" si="11"/>
        <v>30020</v>
      </c>
      <c r="DS12" s="35">
        <f t="shared" si="12"/>
        <v>115260</v>
      </c>
      <c r="DT12" s="35"/>
      <c r="DU12" s="35"/>
      <c r="DV12" s="35"/>
      <c r="DW12" s="35"/>
      <c r="DX12" s="35"/>
      <c r="DY12" s="35"/>
      <c r="DZ12" s="35">
        <v>32070</v>
      </c>
      <c r="EA12" s="35">
        <v>750</v>
      </c>
      <c r="EB12" s="35">
        <v>0</v>
      </c>
      <c r="EC12" s="35"/>
      <c r="ED12" s="35"/>
      <c r="EE12" s="35"/>
      <c r="EF12" s="35">
        <f t="shared" si="13"/>
        <v>32820</v>
      </c>
      <c r="EG12" s="35"/>
      <c r="EH12" s="35"/>
      <c r="EI12" s="35"/>
      <c r="EJ12" s="35"/>
      <c r="EK12" s="35"/>
      <c r="EL12" s="35"/>
      <c r="EM12" s="35">
        <v>32070</v>
      </c>
      <c r="EN12" s="35">
        <v>750</v>
      </c>
      <c r="EO12" s="35">
        <v>0</v>
      </c>
      <c r="EP12" s="35"/>
      <c r="EQ12" s="35"/>
      <c r="ER12" s="35"/>
      <c r="ES12" s="35">
        <f t="shared" si="4"/>
        <v>32820</v>
      </c>
      <c r="ET12" s="35"/>
      <c r="EU12" s="35"/>
      <c r="EV12" s="35"/>
      <c r="EW12" s="35"/>
      <c r="EX12" s="35"/>
      <c r="EY12" s="35"/>
      <c r="EZ12" s="35">
        <v>32070</v>
      </c>
      <c r="FA12" s="35">
        <v>750</v>
      </c>
      <c r="FB12" s="35">
        <v>0</v>
      </c>
      <c r="FC12" s="35"/>
      <c r="FD12" s="35"/>
      <c r="FE12" s="35"/>
      <c r="FF12" s="35">
        <f t="shared" si="14"/>
        <v>32820</v>
      </c>
      <c r="FG12" s="35">
        <f t="shared" si="15"/>
        <v>98460</v>
      </c>
      <c r="FH12" s="35">
        <f t="shared" si="16"/>
        <v>385440</v>
      </c>
    </row>
    <row r="13" spans="1:164" x14ac:dyDescent="0.35">
      <c r="A13" s="34"/>
      <c r="B13" s="40"/>
      <c r="C13" s="41" t="s">
        <v>128</v>
      </c>
      <c r="D13" s="35"/>
      <c r="E13" s="35"/>
      <c r="F13" s="35"/>
      <c r="G13" s="35"/>
      <c r="H13" s="35"/>
      <c r="I13" s="35"/>
      <c r="J13" s="35">
        <v>27870</v>
      </c>
      <c r="K13" s="35">
        <v>750</v>
      </c>
      <c r="L13" s="35">
        <v>836</v>
      </c>
      <c r="M13" s="35"/>
      <c r="N13" s="35"/>
      <c r="O13" s="35"/>
      <c r="P13" s="35">
        <f t="shared" si="5"/>
        <v>29456</v>
      </c>
      <c r="Q13" s="35"/>
      <c r="R13" s="35"/>
      <c r="S13" s="35"/>
      <c r="T13" s="35"/>
      <c r="U13" s="35"/>
      <c r="V13" s="35"/>
      <c r="W13" s="35">
        <v>27870</v>
      </c>
      <c r="X13" s="35">
        <v>750</v>
      </c>
      <c r="Y13" s="35">
        <v>836</v>
      </c>
      <c r="Z13" s="35"/>
      <c r="AA13" s="35"/>
      <c r="AB13" s="35"/>
      <c r="AC13" s="35">
        <f t="shared" si="0"/>
        <v>29456</v>
      </c>
      <c r="AD13" s="35"/>
      <c r="AE13" s="35"/>
      <c r="AF13" s="35"/>
      <c r="AG13" s="35"/>
      <c r="AH13" s="35"/>
      <c r="AI13" s="35"/>
      <c r="AJ13" s="35">
        <v>27870</v>
      </c>
      <c r="AK13" s="35">
        <v>750</v>
      </c>
      <c r="AL13" s="35">
        <v>836</v>
      </c>
      <c r="AM13" s="35"/>
      <c r="AN13" s="35"/>
      <c r="AO13" s="35"/>
      <c r="AP13" s="35">
        <f t="shared" si="1"/>
        <v>29456</v>
      </c>
      <c r="AQ13" s="35">
        <f t="shared" si="2"/>
        <v>88368</v>
      </c>
      <c r="AR13" s="35"/>
      <c r="AS13" s="35"/>
      <c r="AT13" s="35"/>
      <c r="AU13" s="35"/>
      <c r="AV13" s="35"/>
      <c r="AW13" s="35"/>
      <c r="AX13" s="35">
        <v>27870</v>
      </c>
      <c r="AY13" s="35">
        <v>750</v>
      </c>
      <c r="AZ13" s="35">
        <v>836</v>
      </c>
      <c r="BA13" s="35"/>
      <c r="BB13" s="35"/>
      <c r="BC13" s="35"/>
      <c r="BD13" s="35">
        <f t="shared" si="6"/>
        <v>29456</v>
      </c>
      <c r="BE13" s="35"/>
      <c r="BF13" s="35"/>
      <c r="BG13" s="35"/>
      <c r="BH13" s="35"/>
      <c r="BI13" s="35"/>
      <c r="BJ13" s="35"/>
      <c r="BK13" s="35">
        <v>27870</v>
      </c>
      <c r="BL13" s="35">
        <v>750</v>
      </c>
      <c r="BM13" s="35">
        <v>836</v>
      </c>
      <c r="BN13" s="35"/>
      <c r="BO13" s="35"/>
      <c r="BP13" s="35"/>
      <c r="BQ13" s="35">
        <f t="shared" si="7"/>
        <v>29456</v>
      </c>
      <c r="BR13" s="35"/>
      <c r="BS13" s="35"/>
      <c r="BT13" s="35"/>
      <c r="BU13" s="35"/>
      <c r="BV13" s="35"/>
      <c r="BW13" s="35"/>
      <c r="BX13" s="35">
        <v>27870</v>
      </c>
      <c r="BY13" s="35">
        <v>750</v>
      </c>
      <c r="BZ13" s="35">
        <v>836</v>
      </c>
      <c r="CA13" s="35"/>
      <c r="CB13" s="35"/>
      <c r="CC13" s="35"/>
      <c r="CD13" s="35">
        <f t="shared" si="8"/>
        <v>29456</v>
      </c>
      <c r="CE13" s="35">
        <f t="shared" si="9"/>
        <v>88368</v>
      </c>
      <c r="CF13" s="35"/>
      <c r="CG13" s="35"/>
      <c r="CH13" s="35"/>
      <c r="CI13" s="35"/>
      <c r="CJ13" s="35"/>
      <c r="CK13" s="35"/>
      <c r="CL13" s="35">
        <f>29270+(1400*6)</f>
        <v>37670</v>
      </c>
      <c r="CM13" s="35">
        <v>750</v>
      </c>
      <c r="CN13" s="35">
        <f>878+(42*6)</f>
        <v>1130</v>
      </c>
      <c r="CO13" s="35"/>
      <c r="CP13" s="35"/>
      <c r="CQ13" s="35"/>
      <c r="CR13" s="35">
        <f t="shared" si="10"/>
        <v>39550</v>
      </c>
      <c r="CS13" s="35"/>
      <c r="CT13" s="35"/>
      <c r="CU13" s="35"/>
      <c r="CV13" s="35"/>
      <c r="CW13" s="35"/>
      <c r="CX13" s="35"/>
      <c r="CY13" s="35">
        <f>29270+2800*6</f>
        <v>46070</v>
      </c>
      <c r="CZ13" s="35">
        <v>750</v>
      </c>
      <c r="DA13" s="35">
        <f>878+84*6</f>
        <v>1382</v>
      </c>
      <c r="DB13" s="35"/>
      <c r="DC13" s="35"/>
      <c r="DD13" s="35"/>
      <c r="DE13" s="35">
        <f t="shared" si="3"/>
        <v>48202</v>
      </c>
      <c r="DF13" s="35"/>
      <c r="DG13" s="35"/>
      <c r="DH13" s="35"/>
      <c r="DI13" s="35"/>
      <c r="DJ13" s="35"/>
      <c r="DK13" s="35"/>
      <c r="DL13" s="35">
        <v>29270</v>
      </c>
      <c r="DM13" s="35">
        <v>750</v>
      </c>
      <c r="DN13" s="35">
        <v>878</v>
      </c>
      <c r="DO13" s="35"/>
      <c r="DP13" s="35"/>
      <c r="DQ13" s="35"/>
      <c r="DR13" s="35">
        <f t="shared" si="11"/>
        <v>30898</v>
      </c>
      <c r="DS13" s="35">
        <f t="shared" si="12"/>
        <v>118650</v>
      </c>
      <c r="DT13" s="35"/>
      <c r="DU13" s="35"/>
      <c r="DV13" s="35"/>
      <c r="DW13" s="35"/>
      <c r="DX13" s="35"/>
      <c r="DY13" s="35"/>
      <c r="DZ13" s="35">
        <v>32070</v>
      </c>
      <c r="EA13" s="35">
        <v>750</v>
      </c>
      <c r="EB13" s="35">
        <v>962</v>
      </c>
      <c r="EC13" s="35"/>
      <c r="ED13" s="35"/>
      <c r="EE13" s="35"/>
      <c r="EF13" s="35">
        <f t="shared" si="13"/>
        <v>33782</v>
      </c>
      <c r="EG13" s="35"/>
      <c r="EH13" s="35"/>
      <c r="EI13" s="35"/>
      <c r="EJ13" s="35"/>
      <c r="EK13" s="35"/>
      <c r="EL13" s="35"/>
      <c r="EM13" s="35">
        <v>32070</v>
      </c>
      <c r="EN13" s="35">
        <v>750</v>
      </c>
      <c r="EO13" s="35">
        <v>962</v>
      </c>
      <c r="EP13" s="35"/>
      <c r="EQ13" s="35"/>
      <c r="ER13" s="35"/>
      <c r="ES13" s="35">
        <f t="shared" si="4"/>
        <v>33782</v>
      </c>
      <c r="ET13" s="35"/>
      <c r="EU13" s="35"/>
      <c r="EV13" s="35"/>
      <c r="EW13" s="35"/>
      <c r="EX13" s="35"/>
      <c r="EY13" s="35"/>
      <c r="EZ13" s="35">
        <v>32070</v>
      </c>
      <c r="FA13" s="35">
        <v>750</v>
      </c>
      <c r="FB13" s="35">
        <v>962</v>
      </c>
      <c r="FC13" s="35"/>
      <c r="FD13" s="35"/>
      <c r="FE13" s="35"/>
      <c r="FF13" s="35">
        <f t="shared" si="14"/>
        <v>33782</v>
      </c>
      <c r="FG13" s="35">
        <f t="shared" si="15"/>
        <v>101346</v>
      </c>
      <c r="FH13" s="35">
        <f t="shared" si="16"/>
        <v>396732</v>
      </c>
    </row>
    <row r="14" spans="1:164" x14ac:dyDescent="0.35">
      <c r="A14" s="34"/>
      <c r="B14" s="40"/>
      <c r="C14" s="41" t="s">
        <v>129</v>
      </c>
      <c r="D14" s="35"/>
      <c r="E14" s="35"/>
      <c r="F14" s="35"/>
      <c r="G14" s="35"/>
      <c r="H14" s="35"/>
      <c r="I14" s="35"/>
      <c r="J14" s="35">
        <v>27870</v>
      </c>
      <c r="K14" s="35">
        <v>750</v>
      </c>
      <c r="L14" s="35">
        <v>0</v>
      </c>
      <c r="M14" s="35"/>
      <c r="N14" s="35"/>
      <c r="O14" s="35"/>
      <c r="P14" s="35">
        <f t="shared" si="5"/>
        <v>28620</v>
      </c>
      <c r="Q14" s="35"/>
      <c r="R14" s="35"/>
      <c r="S14" s="35"/>
      <c r="T14" s="35"/>
      <c r="U14" s="35"/>
      <c r="V14" s="35"/>
      <c r="W14" s="35">
        <v>27870</v>
      </c>
      <c r="X14" s="35">
        <v>750</v>
      </c>
      <c r="Y14" s="35">
        <v>0</v>
      </c>
      <c r="Z14" s="35"/>
      <c r="AA14" s="35"/>
      <c r="AB14" s="35"/>
      <c r="AC14" s="35">
        <f t="shared" si="0"/>
        <v>28620</v>
      </c>
      <c r="AD14" s="35"/>
      <c r="AE14" s="35"/>
      <c r="AF14" s="35"/>
      <c r="AG14" s="35"/>
      <c r="AH14" s="35"/>
      <c r="AI14" s="35"/>
      <c r="AJ14" s="35">
        <v>27870</v>
      </c>
      <c r="AK14" s="35">
        <v>750</v>
      </c>
      <c r="AL14" s="35">
        <v>0</v>
      </c>
      <c r="AM14" s="35"/>
      <c r="AN14" s="35"/>
      <c r="AO14" s="35"/>
      <c r="AP14" s="35">
        <f t="shared" si="1"/>
        <v>28620</v>
      </c>
      <c r="AQ14" s="35">
        <f t="shared" si="2"/>
        <v>85860</v>
      </c>
      <c r="AR14" s="35"/>
      <c r="AS14" s="35"/>
      <c r="AT14" s="35"/>
      <c r="AU14" s="35"/>
      <c r="AV14" s="35"/>
      <c r="AW14" s="35"/>
      <c r="AX14" s="35">
        <v>27870</v>
      </c>
      <c r="AY14" s="35">
        <v>750</v>
      </c>
      <c r="AZ14" s="35">
        <v>0</v>
      </c>
      <c r="BA14" s="35"/>
      <c r="BB14" s="35"/>
      <c r="BC14" s="35"/>
      <c r="BD14" s="35">
        <f t="shared" si="6"/>
        <v>28620</v>
      </c>
      <c r="BE14" s="35"/>
      <c r="BF14" s="35"/>
      <c r="BG14" s="35"/>
      <c r="BH14" s="35"/>
      <c r="BI14" s="35"/>
      <c r="BJ14" s="35"/>
      <c r="BK14" s="35">
        <v>27870</v>
      </c>
      <c r="BL14" s="35">
        <v>750</v>
      </c>
      <c r="BM14" s="35">
        <v>0</v>
      </c>
      <c r="BN14" s="35"/>
      <c r="BO14" s="35"/>
      <c r="BP14" s="35"/>
      <c r="BQ14" s="35">
        <f t="shared" si="7"/>
        <v>28620</v>
      </c>
      <c r="BR14" s="35"/>
      <c r="BS14" s="35"/>
      <c r="BT14" s="35"/>
      <c r="BU14" s="35"/>
      <c r="BV14" s="35"/>
      <c r="BW14" s="35"/>
      <c r="BX14" s="35">
        <v>27870</v>
      </c>
      <c r="BY14" s="35">
        <v>750</v>
      </c>
      <c r="BZ14" s="35">
        <v>0</v>
      </c>
      <c r="CA14" s="35"/>
      <c r="CB14" s="35"/>
      <c r="CC14" s="35"/>
      <c r="CD14" s="35">
        <f t="shared" si="8"/>
        <v>28620</v>
      </c>
      <c r="CE14" s="35">
        <f t="shared" si="9"/>
        <v>85860</v>
      </c>
      <c r="CF14" s="35"/>
      <c r="CG14" s="35"/>
      <c r="CH14" s="35"/>
      <c r="CI14" s="35"/>
      <c r="CJ14" s="35"/>
      <c r="CK14" s="35"/>
      <c r="CL14" s="35">
        <f>29270+(1400*6)</f>
        <v>37670</v>
      </c>
      <c r="CM14" s="35">
        <v>750</v>
      </c>
      <c r="CN14" s="35">
        <v>0</v>
      </c>
      <c r="CO14" s="35"/>
      <c r="CP14" s="35"/>
      <c r="CQ14" s="35"/>
      <c r="CR14" s="35">
        <f t="shared" si="10"/>
        <v>38420</v>
      </c>
      <c r="CS14" s="35"/>
      <c r="CT14" s="35"/>
      <c r="CU14" s="35"/>
      <c r="CV14" s="35"/>
      <c r="CW14" s="35"/>
      <c r="CX14" s="35"/>
      <c r="CY14" s="35">
        <f>29270+2800*6</f>
        <v>46070</v>
      </c>
      <c r="CZ14" s="35">
        <v>750</v>
      </c>
      <c r="DA14" s="35">
        <v>0</v>
      </c>
      <c r="DB14" s="35"/>
      <c r="DC14" s="35"/>
      <c r="DD14" s="35"/>
      <c r="DE14" s="35">
        <f t="shared" si="3"/>
        <v>46820</v>
      </c>
      <c r="DF14" s="35"/>
      <c r="DG14" s="35"/>
      <c r="DH14" s="35"/>
      <c r="DI14" s="35"/>
      <c r="DJ14" s="35"/>
      <c r="DK14" s="35"/>
      <c r="DL14" s="35">
        <v>29270</v>
      </c>
      <c r="DM14" s="35">
        <v>750</v>
      </c>
      <c r="DN14" s="35">
        <v>0</v>
      </c>
      <c r="DO14" s="35"/>
      <c r="DP14" s="35"/>
      <c r="DQ14" s="35"/>
      <c r="DR14" s="35">
        <f t="shared" si="11"/>
        <v>30020</v>
      </c>
      <c r="DS14" s="35">
        <f t="shared" si="12"/>
        <v>115260</v>
      </c>
      <c r="DT14" s="35"/>
      <c r="DU14" s="35"/>
      <c r="DV14" s="35"/>
      <c r="DW14" s="35"/>
      <c r="DX14" s="35"/>
      <c r="DY14" s="35"/>
      <c r="DZ14" s="35">
        <v>32070</v>
      </c>
      <c r="EA14" s="35">
        <v>750</v>
      </c>
      <c r="EB14" s="35">
        <v>0</v>
      </c>
      <c r="EC14" s="35"/>
      <c r="ED14" s="35"/>
      <c r="EE14" s="35"/>
      <c r="EF14" s="35">
        <f t="shared" si="13"/>
        <v>32820</v>
      </c>
      <c r="EG14" s="35"/>
      <c r="EH14" s="35"/>
      <c r="EI14" s="35"/>
      <c r="EJ14" s="35"/>
      <c r="EK14" s="35"/>
      <c r="EL14" s="35"/>
      <c r="EM14" s="35">
        <v>32070</v>
      </c>
      <c r="EN14" s="35">
        <v>750</v>
      </c>
      <c r="EO14" s="35">
        <v>0</v>
      </c>
      <c r="EP14" s="35"/>
      <c r="EQ14" s="35"/>
      <c r="ER14" s="35"/>
      <c r="ES14" s="35">
        <f t="shared" si="4"/>
        <v>32820</v>
      </c>
      <c r="ET14" s="35"/>
      <c r="EU14" s="35"/>
      <c r="EV14" s="35"/>
      <c r="EW14" s="35"/>
      <c r="EX14" s="35"/>
      <c r="EY14" s="35"/>
      <c r="EZ14" s="35">
        <v>32070</v>
      </c>
      <c r="FA14" s="35">
        <v>750</v>
      </c>
      <c r="FB14" s="35">
        <v>0</v>
      </c>
      <c r="FC14" s="35"/>
      <c r="FD14" s="35"/>
      <c r="FE14" s="35"/>
      <c r="FF14" s="35">
        <f t="shared" si="14"/>
        <v>32820</v>
      </c>
      <c r="FG14" s="35">
        <f t="shared" si="15"/>
        <v>98460</v>
      </c>
      <c r="FH14" s="35">
        <f t="shared" si="16"/>
        <v>385440</v>
      </c>
    </row>
    <row r="15" spans="1:164" x14ac:dyDescent="0.35">
      <c r="A15" s="34"/>
      <c r="B15" s="40"/>
      <c r="C15" s="41" t="s">
        <v>130</v>
      </c>
      <c r="D15" s="35"/>
      <c r="E15" s="35"/>
      <c r="F15" s="35"/>
      <c r="G15" s="35"/>
      <c r="H15" s="35"/>
      <c r="I15" s="35"/>
      <c r="J15" s="35"/>
      <c r="K15" s="35"/>
      <c r="L15" s="35"/>
      <c r="M15" s="35">
        <v>21690</v>
      </c>
      <c r="N15" s="35">
        <v>750</v>
      </c>
      <c r="O15" s="35">
        <v>651</v>
      </c>
      <c r="P15" s="35">
        <f t="shared" si="5"/>
        <v>23091</v>
      </c>
      <c r="Q15" s="35"/>
      <c r="R15" s="35"/>
      <c r="S15" s="35"/>
      <c r="T15" s="35"/>
      <c r="U15" s="35"/>
      <c r="V15" s="35"/>
      <c r="W15" s="35"/>
      <c r="X15" s="35"/>
      <c r="Y15" s="35"/>
      <c r="Z15" s="35">
        <v>21690</v>
      </c>
      <c r="AA15" s="35">
        <v>750</v>
      </c>
      <c r="AB15" s="35">
        <v>651</v>
      </c>
      <c r="AC15" s="35">
        <f t="shared" si="0"/>
        <v>23091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>
        <v>21690</v>
      </c>
      <c r="AN15" s="35">
        <v>750</v>
      </c>
      <c r="AO15" s="35">
        <v>651</v>
      </c>
      <c r="AP15" s="35">
        <f t="shared" si="1"/>
        <v>23091</v>
      </c>
      <c r="AQ15" s="35">
        <f t="shared" si="2"/>
        <v>69273</v>
      </c>
      <c r="AR15" s="35"/>
      <c r="AS15" s="35"/>
      <c r="AT15" s="35"/>
      <c r="AU15" s="35"/>
      <c r="AV15" s="35"/>
      <c r="AW15" s="35"/>
      <c r="AX15" s="35"/>
      <c r="AY15" s="35"/>
      <c r="AZ15" s="35"/>
      <c r="BA15" s="35">
        <v>21690</v>
      </c>
      <c r="BB15" s="35">
        <v>750</v>
      </c>
      <c r="BC15" s="35">
        <v>651</v>
      </c>
      <c r="BD15" s="35">
        <f t="shared" si="6"/>
        <v>23091</v>
      </c>
      <c r="BE15" s="35"/>
      <c r="BF15" s="35"/>
      <c r="BG15" s="35"/>
      <c r="BH15" s="35"/>
      <c r="BI15" s="35"/>
      <c r="BJ15" s="35"/>
      <c r="BK15" s="35"/>
      <c r="BL15" s="35"/>
      <c r="BM15" s="35"/>
      <c r="BN15" s="35">
        <v>21690</v>
      </c>
      <c r="BO15" s="35">
        <v>750</v>
      </c>
      <c r="BP15" s="35">
        <v>651</v>
      </c>
      <c r="BQ15" s="35">
        <f t="shared" si="7"/>
        <v>23091</v>
      </c>
      <c r="BR15" s="35"/>
      <c r="BS15" s="35"/>
      <c r="BT15" s="35"/>
      <c r="BU15" s="35"/>
      <c r="BV15" s="35"/>
      <c r="BW15" s="35"/>
      <c r="BX15" s="35"/>
      <c r="BY15" s="35"/>
      <c r="BZ15" s="35"/>
      <c r="CA15" s="35">
        <v>21690</v>
      </c>
      <c r="CB15" s="35">
        <v>750</v>
      </c>
      <c r="CC15" s="35">
        <v>651</v>
      </c>
      <c r="CD15" s="35">
        <f t="shared" si="8"/>
        <v>23091</v>
      </c>
      <c r="CE15" s="35">
        <f t="shared" si="9"/>
        <v>69273</v>
      </c>
      <c r="CF15" s="35"/>
      <c r="CG15" s="35"/>
      <c r="CH15" s="35"/>
      <c r="CI15" s="35"/>
      <c r="CJ15" s="35"/>
      <c r="CK15" s="35"/>
      <c r="CL15" s="35"/>
      <c r="CM15" s="35"/>
      <c r="CN15" s="35"/>
      <c r="CO15" s="35">
        <f>22780+(1090*6)</f>
        <v>29320</v>
      </c>
      <c r="CP15" s="35">
        <v>750</v>
      </c>
      <c r="CQ15" s="35">
        <f>683+(33*6)</f>
        <v>881</v>
      </c>
      <c r="CR15" s="35">
        <f t="shared" si="10"/>
        <v>30951</v>
      </c>
      <c r="CS15" s="35"/>
      <c r="CT15" s="35"/>
      <c r="CU15" s="35"/>
      <c r="CV15" s="35"/>
      <c r="CW15" s="35"/>
      <c r="CX15" s="35"/>
      <c r="CY15" s="35"/>
      <c r="CZ15" s="35"/>
      <c r="DA15" s="35"/>
      <c r="DB15" s="35">
        <f>22780+1200*6</f>
        <v>29980</v>
      </c>
      <c r="DC15" s="35">
        <v>750</v>
      </c>
      <c r="DD15" s="35">
        <f>683+36*6</f>
        <v>899</v>
      </c>
      <c r="DE15" s="35">
        <f t="shared" si="3"/>
        <v>31629</v>
      </c>
      <c r="DF15" s="35"/>
      <c r="DG15" s="35"/>
      <c r="DH15" s="35"/>
      <c r="DI15" s="35"/>
      <c r="DJ15" s="35"/>
      <c r="DK15" s="35"/>
      <c r="DL15" s="35"/>
      <c r="DM15" s="35"/>
      <c r="DN15" s="35"/>
      <c r="DO15" s="35">
        <v>22780</v>
      </c>
      <c r="DP15" s="35">
        <v>750</v>
      </c>
      <c r="DQ15" s="35">
        <v>683</v>
      </c>
      <c r="DR15" s="35">
        <f t="shared" si="11"/>
        <v>24213</v>
      </c>
      <c r="DS15" s="35">
        <f t="shared" si="12"/>
        <v>86793</v>
      </c>
      <c r="DT15" s="35"/>
      <c r="DU15" s="35"/>
      <c r="DV15" s="35"/>
      <c r="DW15" s="35"/>
      <c r="DX15" s="35"/>
      <c r="DY15" s="35"/>
      <c r="DZ15" s="35"/>
      <c r="EA15" s="35"/>
      <c r="EB15" s="35"/>
      <c r="EC15" s="35">
        <v>23980</v>
      </c>
      <c r="ED15" s="35">
        <v>750</v>
      </c>
      <c r="EE15" s="35">
        <v>719</v>
      </c>
      <c r="EF15" s="35">
        <f t="shared" si="13"/>
        <v>25449</v>
      </c>
      <c r="EG15" s="35"/>
      <c r="EH15" s="35"/>
      <c r="EI15" s="35"/>
      <c r="EJ15" s="35"/>
      <c r="EK15" s="35"/>
      <c r="EL15" s="35"/>
      <c r="EM15" s="35"/>
      <c r="EN15" s="35"/>
      <c r="EO15" s="35"/>
      <c r="EP15" s="35">
        <v>23980</v>
      </c>
      <c r="EQ15" s="35">
        <v>750</v>
      </c>
      <c r="ER15" s="35">
        <v>719</v>
      </c>
      <c r="ES15" s="35">
        <f t="shared" si="4"/>
        <v>25449</v>
      </c>
      <c r="ET15" s="35"/>
      <c r="EU15" s="35"/>
      <c r="EV15" s="35"/>
      <c r="EW15" s="35"/>
      <c r="EX15" s="35"/>
      <c r="EY15" s="35"/>
      <c r="EZ15" s="35"/>
      <c r="FA15" s="35"/>
      <c r="FB15" s="35"/>
      <c r="FC15" s="35">
        <v>23980</v>
      </c>
      <c r="FD15" s="35">
        <v>750</v>
      </c>
      <c r="FE15" s="35">
        <v>719</v>
      </c>
      <c r="FF15" s="35">
        <f t="shared" si="14"/>
        <v>25449</v>
      </c>
      <c r="FG15" s="35">
        <f t="shared" si="15"/>
        <v>76347</v>
      </c>
      <c r="FH15" s="35">
        <f t="shared" si="16"/>
        <v>301686</v>
      </c>
    </row>
    <row r="16" spans="1:164" x14ac:dyDescent="0.35">
      <c r="A16" s="34"/>
      <c r="B16" s="40"/>
      <c r="C16" s="41" t="s">
        <v>231</v>
      </c>
      <c r="D16" s="35"/>
      <c r="E16" s="35"/>
      <c r="F16" s="35"/>
      <c r="G16" s="35"/>
      <c r="H16" s="35"/>
      <c r="I16" s="35"/>
      <c r="J16" s="35">
        <v>27390</v>
      </c>
      <c r="K16" s="35">
        <v>750</v>
      </c>
      <c r="L16" s="35">
        <v>0</v>
      </c>
      <c r="M16" s="35"/>
      <c r="N16" s="35"/>
      <c r="O16" s="35"/>
      <c r="P16" s="35">
        <f t="shared" si="5"/>
        <v>28140</v>
      </c>
      <c r="Q16" s="35"/>
      <c r="R16" s="35"/>
      <c r="S16" s="35"/>
      <c r="T16" s="35"/>
      <c r="U16" s="35"/>
      <c r="V16" s="35"/>
      <c r="W16" s="35">
        <v>27390</v>
      </c>
      <c r="X16" s="35">
        <v>750</v>
      </c>
      <c r="Y16" s="35">
        <v>0</v>
      </c>
      <c r="Z16" s="35"/>
      <c r="AA16" s="35"/>
      <c r="AB16" s="35"/>
      <c r="AC16" s="35">
        <f t="shared" si="0"/>
        <v>28140</v>
      </c>
      <c r="AD16" s="35"/>
      <c r="AE16" s="35"/>
      <c r="AF16" s="35"/>
      <c r="AG16" s="35"/>
      <c r="AH16" s="35"/>
      <c r="AI16" s="35"/>
      <c r="AJ16" s="35">
        <v>27390</v>
      </c>
      <c r="AK16" s="35">
        <v>750</v>
      </c>
      <c r="AL16" s="35">
        <v>0</v>
      </c>
      <c r="AM16" s="35"/>
      <c r="AN16" s="35"/>
      <c r="AO16" s="35"/>
      <c r="AP16" s="35">
        <f t="shared" si="1"/>
        <v>28140</v>
      </c>
      <c r="AQ16" s="35">
        <f t="shared" si="2"/>
        <v>84420</v>
      </c>
      <c r="AR16" s="35"/>
      <c r="AS16" s="35"/>
      <c r="AT16" s="35"/>
      <c r="AU16" s="35"/>
      <c r="AV16" s="35"/>
      <c r="AW16" s="35"/>
      <c r="AX16" s="35">
        <v>27390</v>
      </c>
      <c r="AY16" s="35">
        <v>750</v>
      </c>
      <c r="AZ16" s="35">
        <v>0</v>
      </c>
      <c r="BA16" s="35"/>
      <c r="BB16" s="35"/>
      <c r="BC16" s="35"/>
      <c r="BD16" s="35">
        <f t="shared" si="6"/>
        <v>28140</v>
      </c>
      <c r="BE16" s="35"/>
      <c r="BF16" s="35"/>
      <c r="BG16" s="35"/>
      <c r="BH16" s="35"/>
      <c r="BI16" s="35"/>
      <c r="BJ16" s="35"/>
      <c r="BK16" s="35">
        <v>27390</v>
      </c>
      <c r="BL16" s="35">
        <v>750</v>
      </c>
      <c r="BM16" s="35">
        <v>0</v>
      </c>
      <c r="BN16" s="35"/>
      <c r="BO16" s="35"/>
      <c r="BP16" s="35"/>
      <c r="BQ16" s="35">
        <f t="shared" si="7"/>
        <v>28140</v>
      </c>
      <c r="BR16" s="35"/>
      <c r="BS16" s="35"/>
      <c r="BT16" s="35"/>
      <c r="BU16" s="35"/>
      <c r="BV16" s="35"/>
      <c r="BW16" s="35"/>
      <c r="BX16" s="35">
        <v>27390</v>
      </c>
      <c r="BY16" s="35">
        <v>750</v>
      </c>
      <c r="BZ16" s="35">
        <v>0</v>
      </c>
      <c r="CA16" s="35"/>
      <c r="CB16" s="35"/>
      <c r="CC16" s="35"/>
      <c r="CD16" s="35">
        <f t="shared" si="8"/>
        <v>28140</v>
      </c>
      <c r="CE16" s="35">
        <f t="shared" si="9"/>
        <v>84420</v>
      </c>
      <c r="CF16" s="35"/>
      <c r="CG16" s="35"/>
      <c r="CH16" s="35"/>
      <c r="CI16" s="35"/>
      <c r="CJ16" s="35"/>
      <c r="CK16" s="35"/>
      <c r="CL16" s="35">
        <f>28760+(1370*6)</f>
        <v>36980</v>
      </c>
      <c r="CM16" s="35">
        <v>750</v>
      </c>
      <c r="CN16" s="35">
        <v>0</v>
      </c>
      <c r="CO16" s="35"/>
      <c r="CP16" s="35"/>
      <c r="CQ16" s="35"/>
      <c r="CR16" s="35">
        <f t="shared" si="10"/>
        <v>37730</v>
      </c>
      <c r="CS16" s="35"/>
      <c r="CT16" s="35"/>
      <c r="CU16" s="35"/>
      <c r="CV16" s="35"/>
      <c r="CW16" s="35"/>
      <c r="CX16" s="35"/>
      <c r="CY16" s="35">
        <f>28760+2800*6</f>
        <v>45560</v>
      </c>
      <c r="CZ16" s="35">
        <v>750</v>
      </c>
      <c r="DA16" s="35">
        <v>0</v>
      </c>
      <c r="DB16" s="35"/>
      <c r="DC16" s="35"/>
      <c r="DD16" s="35"/>
      <c r="DE16" s="35">
        <f t="shared" si="3"/>
        <v>46310</v>
      </c>
      <c r="DF16" s="35"/>
      <c r="DG16" s="35"/>
      <c r="DH16" s="35"/>
      <c r="DI16" s="35"/>
      <c r="DJ16" s="35"/>
      <c r="DK16" s="35"/>
      <c r="DL16" s="35">
        <v>28760</v>
      </c>
      <c r="DM16" s="35">
        <v>750</v>
      </c>
      <c r="DN16" s="35">
        <v>0</v>
      </c>
      <c r="DO16" s="35"/>
      <c r="DP16" s="35"/>
      <c r="DQ16" s="35"/>
      <c r="DR16" s="35">
        <f t="shared" si="11"/>
        <v>29510</v>
      </c>
      <c r="DS16" s="35">
        <f t="shared" si="12"/>
        <v>113550</v>
      </c>
      <c r="DT16" s="35"/>
      <c r="DU16" s="35"/>
      <c r="DV16" s="35"/>
      <c r="DW16" s="35"/>
      <c r="DX16" s="35"/>
      <c r="DY16" s="35"/>
      <c r="DZ16" s="35">
        <v>31560</v>
      </c>
      <c r="EA16" s="35">
        <v>750</v>
      </c>
      <c r="EB16" s="35">
        <v>0</v>
      </c>
      <c r="EC16" s="35"/>
      <c r="ED16" s="35"/>
      <c r="EE16" s="35"/>
      <c r="EF16" s="35">
        <f t="shared" si="13"/>
        <v>32310</v>
      </c>
      <c r="EG16" s="35"/>
      <c r="EH16" s="35"/>
      <c r="EI16" s="35"/>
      <c r="EJ16" s="35"/>
      <c r="EK16" s="35"/>
      <c r="EL16" s="35"/>
      <c r="EM16" s="35">
        <v>31560</v>
      </c>
      <c r="EN16" s="35">
        <v>750</v>
      </c>
      <c r="EO16" s="35">
        <v>0</v>
      </c>
      <c r="EP16" s="35"/>
      <c r="EQ16" s="35"/>
      <c r="ER16" s="35"/>
      <c r="ES16" s="35">
        <f t="shared" si="4"/>
        <v>32310</v>
      </c>
      <c r="ET16" s="35"/>
      <c r="EU16" s="35"/>
      <c r="EV16" s="35"/>
      <c r="EW16" s="35"/>
      <c r="EX16" s="35"/>
      <c r="EY16" s="35"/>
      <c r="EZ16" s="35">
        <v>31560</v>
      </c>
      <c r="FA16" s="35">
        <v>750</v>
      </c>
      <c r="FB16" s="35">
        <v>0</v>
      </c>
      <c r="FC16" s="35"/>
      <c r="FD16" s="35"/>
      <c r="FE16" s="35"/>
      <c r="FF16" s="35">
        <f t="shared" si="14"/>
        <v>32310</v>
      </c>
      <c r="FG16" s="35">
        <f t="shared" si="15"/>
        <v>96930</v>
      </c>
      <c r="FH16" s="35">
        <f t="shared" si="16"/>
        <v>379320</v>
      </c>
    </row>
    <row r="17" spans="1:164" x14ac:dyDescent="0.35">
      <c r="A17" s="34"/>
      <c r="B17" s="40"/>
      <c r="C17" s="41" t="s">
        <v>131</v>
      </c>
      <c r="D17" s="35"/>
      <c r="E17" s="35"/>
      <c r="F17" s="35"/>
      <c r="G17" s="35"/>
      <c r="H17" s="35"/>
      <c r="I17" s="35"/>
      <c r="J17" s="35"/>
      <c r="K17" s="35"/>
      <c r="L17" s="35"/>
      <c r="M17" s="35">
        <v>21690</v>
      </c>
      <c r="N17" s="35">
        <v>750</v>
      </c>
      <c r="O17" s="35">
        <v>651</v>
      </c>
      <c r="P17" s="35">
        <f t="shared" si="5"/>
        <v>23091</v>
      </c>
      <c r="Q17" s="35"/>
      <c r="R17" s="35"/>
      <c r="S17" s="35"/>
      <c r="T17" s="35"/>
      <c r="U17" s="35"/>
      <c r="V17" s="35"/>
      <c r="W17" s="35"/>
      <c r="X17" s="35"/>
      <c r="Y17" s="35"/>
      <c r="Z17" s="35">
        <v>21690</v>
      </c>
      <c r="AA17" s="35">
        <v>750</v>
      </c>
      <c r="AB17" s="35">
        <v>651</v>
      </c>
      <c r="AC17" s="35">
        <f t="shared" si="0"/>
        <v>23091</v>
      </c>
      <c r="AD17" s="35"/>
      <c r="AE17" s="35"/>
      <c r="AF17" s="35"/>
      <c r="AG17" s="35"/>
      <c r="AH17" s="35"/>
      <c r="AI17" s="35"/>
      <c r="AJ17" s="35"/>
      <c r="AK17" s="35"/>
      <c r="AL17" s="35"/>
      <c r="AM17" s="35">
        <v>21690</v>
      </c>
      <c r="AN17" s="35">
        <v>750</v>
      </c>
      <c r="AO17" s="35">
        <v>651</v>
      </c>
      <c r="AP17" s="35">
        <f t="shared" si="1"/>
        <v>23091</v>
      </c>
      <c r="AQ17" s="35">
        <f t="shared" si="2"/>
        <v>69273</v>
      </c>
      <c r="AR17" s="35"/>
      <c r="AS17" s="35"/>
      <c r="AT17" s="35"/>
      <c r="AU17" s="35"/>
      <c r="AV17" s="35"/>
      <c r="AW17" s="35"/>
      <c r="AX17" s="35"/>
      <c r="AY17" s="35"/>
      <c r="AZ17" s="35"/>
      <c r="BA17" s="35">
        <v>21690</v>
      </c>
      <c r="BB17" s="35">
        <v>750</v>
      </c>
      <c r="BC17" s="35">
        <v>651</v>
      </c>
      <c r="BD17" s="35">
        <f t="shared" si="6"/>
        <v>23091</v>
      </c>
      <c r="BE17" s="35"/>
      <c r="BF17" s="35"/>
      <c r="BG17" s="35"/>
      <c r="BH17" s="35"/>
      <c r="BI17" s="35"/>
      <c r="BJ17" s="35"/>
      <c r="BK17" s="35"/>
      <c r="BL17" s="35"/>
      <c r="BM17" s="35"/>
      <c r="BN17" s="35">
        <v>21690</v>
      </c>
      <c r="BO17" s="35">
        <v>750</v>
      </c>
      <c r="BP17" s="35">
        <v>651</v>
      </c>
      <c r="BQ17" s="35">
        <f t="shared" si="7"/>
        <v>23091</v>
      </c>
      <c r="BR17" s="35"/>
      <c r="BS17" s="35"/>
      <c r="BT17" s="35"/>
      <c r="BU17" s="35"/>
      <c r="BV17" s="35"/>
      <c r="BW17" s="35"/>
      <c r="BX17" s="35"/>
      <c r="BY17" s="35"/>
      <c r="BZ17" s="35"/>
      <c r="CA17" s="35">
        <v>21690</v>
      </c>
      <c r="CB17" s="35">
        <v>750</v>
      </c>
      <c r="CC17" s="35">
        <v>651</v>
      </c>
      <c r="CD17" s="35">
        <f t="shared" si="8"/>
        <v>23091</v>
      </c>
      <c r="CE17" s="35">
        <f t="shared" si="9"/>
        <v>69273</v>
      </c>
      <c r="CF17" s="35"/>
      <c r="CG17" s="35"/>
      <c r="CH17" s="35"/>
      <c r="CI17" s="35"/>
      <c r="CJ17" s="35"/>
      <c r="CK17" s="35"/>
      <c r="CL17" s="35"/>
      <c r="CM17" s="35"/>
      <c r="CN17" s="35"/>
      <c r="CO17" s="35">
        <f>22780+(1090*6)</f>
        <v>29320</v>
      </c>
      <c r="CP17" s="35">
        <v>750</v>
      </c>
      <c r="CQ17" s="35">
        <f>683+(33*6)</f>
        <v>881</v>
      </c>
      <c r="CR17" s="35">
        <f t="shared" si="10"/>
        <v>30951</v>
      </c>
      <c r="CS17" s="35"/>
      <c r="CT17" s="35"/>
      <c r="CU17" s="35"/>
      <c r="CV17" s="35"/>
      <c r="CW17" s="35"/>
      <c r="CX17" s="35"/>
      <c r="CY17" s="35"/>
      <c r="CZ17" s="35"/>
      <c r="DA17" s="35"/>
      <c r="DB17" s="35">
        <f>22780+1200*6</f>
        <v>29980</v>
      </c>
      <c r="DC17" s="35">
        <v>750</v>
      </c>
      <c r="DD17" s="35">
        <f>683+36*6</f>
        <v>899</v>
      </c>
      <c r="DE17" s="35">
        <f t="shared" si="3"/>
        <v>31629</v>
      </c>
      <c r="DF17" s="35"/>
      <c r="DG17" s="35"/>
      <c r="DH17" s="35"/>
      <c r="DI17" s="35"/>
      <c r="DJ17" s="35"/>
      <c r="DK17" s="35"/>
      <c r="DL17" s="35"/>
      <c r="DM17" s="35"/>
      <c r="DN17" s="35"/>
      <c r="DO17" s="35">
        <v>22780</v>
      </c>
      <c r="DP17" s="35">
        <v>750</v>
      </c>
      <c r="DQ17" s="35">
        <v>683</v>
      </c>
      <c r="DR17" s="35">
        <f t="shared" si="11"/>
        <v>24213</v>
      </c>
      <c r="DS17" s="35">
        <f t="shared" si="12"/>
        <v>86793</v>
      </c>
      <c r="DT17" s="35"/>
      <c r="DU17" s="35"/>
      <c r="DV17" s="35"/>
      <c r="DW17" s="35"/>
      <c r="DX17" s="35"/>
      <c r="DY17" s="35"/>
      <c r="DZ17" s="35"/>
      <c r="EA17" s="35"/>
      <c r="EB17" s="35"/>
      <c r="EC17" s="35">
        <v>23980</v>
      </c>
      <c r="ED17" s="35">
        <v>750</v>
      </c>
      <c r="EE17" s="35">
        <v>719</v>
      </c>
      <c r="EF17" s="35">
        <f t="shared" si="13"/>
        <v>25449</v>
      </c>
      <c r="EG17" s="35"/>
      <c r="EH17" s="35"/>
      <c r="EI17" s="35"/>
      <c r="EJ17" s="35"/>
      <c r="EK17" s="35"/>
      <c r="EL17" s="35"/>
      <c r="EM17" s="35"/>
      <c r="EN17" s="35"/>
      <c r="EO17" s="35"/>
      <c r="EP17" s="35">
        <v>23980</v>
      </c>
      <c r="EQ17" s="35">
        <v>750</v>
      </c>
      <c r="ER17" s="35">
        <v>719</v>
      </c>
      <c r="ES17" s="35">
        <f t="shared" si="4"/>
        <v>25449</v>
      </c>
      <c r="ET17" s="35"/>
      <c r="EU17" s="35"/>
      <c r="EV17" s="35"/>
      <c r="EW17" s="35"/>
      <c r="EX17" s="35"/>
      <c r="EY17" s="35"/>
      <c r="EZ17" s="35"/>
      <c r="FA17" s="35"/>
      <c r="FB17" s="35"/>
      <c r="FC17" s="35">
        <v>23980</v>
      </c>
      <c r="FD17" s="35">
        <v>750</v>
      </c>
      <c r="FE17" s="35">
        <v>719</v>
      </c>
      <c r="FF17" s="35">
        <f t="shared" si="14"/>
        <v>25449</v>
      </c>
      <c r="FG17" s="35">
        <f t="shared" si="15"/>
        <v>76347</v>
      </c>
      <c r="FH17" s="35">
        <f t="shared" si="16"/>
        <v>301686</v>
      </c>
    </row>
    <row r="18" spans="1:164" x14ac:dyDescent="0.35">
      <c r="A18" s="34"/>
      <c r="B18" s="40"/>
      <c r="C18" s="41" t="s">
        <v>132</v>
      </c>
      <c r="D18" s="35"/>
      <c r="E18" s="35"/>
      <c r="F18" s="35"/>
      <c r="G18" s="35"/>
      <c r="H18" s="35"/>
      <c r="I18" s="35"/>
      <c r="J18" s="35">
        <v>23870</v>
      </c>
      <c r="K18" s="35">
        <v>750</v>
      </c>
      <c r="L18" s="35">
        <v>0</v>
      </c>
      <c r="M18" s="35"/>
      <c r="N18" s="35"/>
      <c r="O18" s="35"/>
      <c r="P18" s="35">
        <f t="shared" si="5"/>
        <v>24620</v>
      </c>
      <c r="Q18" s="35"/>
      <c r="R18" s="35"/>
      <c r="S18" s="35"/>
      <c r="T18" s="35"/>
      <c r="U18" s="35"/>
      <c r="V18" s="35"/>
      <c r="W18" s="35">
        <v>23870</v>
      </c>
      <c r="X18" s="35">
        <v>750</v>
      </c>
      <c r="Y18" s="35">
        <v>0</v>
      </c>
      <c r="Z18" s="35"/>
      <c r="AA18" s="35"/>
      <c r="AB18" s="35"/>
      <c r="AC18" s="35">
        <f t="shared" si="0"/>
        <v>24620</v>
      </c>
      <c r="AD18" s="35"/>
      <c r="AE18" s="35"/>
      <c r="AF18" s="35"/>
      <c r="AG18" s="35"/>
      <c r="AH18" s="35"/>
      <c r="AI18" s="35"/>
      <c r="AJ18" s="35">
        <v>23870</v>
      </c>
      <c r="AK18" s="35">
        <v>750</v>
      </c>
      <c r="AL18" s="35">
        <v>0</v>
      </c>
      <c r="AM18" s="35"/>
      <c r="AN18" s="35"/>
      <c r="AO18" s="35"/>
      <c r="AP18" s="35">
        <f t="shared" si="1"/>
        <v>24620</v>
      </c>
      <c r="AQ18" s="35">
        <f t="shared" si="2"/>
        <v>73860</v>
      </c>
      <c r="AR18" s="35"/>
      <c r="AS18" s="35"/>
      <c r="AT18" s="35"/>
      <c r="AU18" s="35"/>
      <c r="AV18" s="35"/>
      <c r="AW18" s="35"/>
      <c r="AX18" s="35">
        <v>23870</v>
      </c>
      <c r="AY18" s="35">
        <v>750</v>
      </c>
      <c r="AZ18" s="35">
        <v>0</v>
      </c>
      <c r="BA18" s="35"/>
      <c r="BB18" s="35"/>
      <c r="BC18" s="35"/>
      <c r="BD18" s="35">
        <f t="shared" si="6"/>
        <v>24620</v>
      </c>
      <c r="BE18" s="35"/>
      <c r="BF18" s="35"/>
      <c r="BG18" s="35"/>
      <c r="BH18" s="35"/>
      <c r="BI18" s="35"/>
      <c r="BJ18" s="35"/>
      <c r="BK18" s="35">
        <v>23870</v>
      </c>
      <c r="BL18" s="35">
        <v>750</v>
      </c>
      <c r="BM18" s="35">
        <v>0</v>
      </c>
      <c r="BN18" s="35"/>
      <c r="BO18" s="35"/>
      <c r="BP18" s="35"/>
      <c r="BQ18" s="35">
        <f t="shared" si="7"/>
        <v>24620</v>
      </c>
      <c r="BR18" s="35"/>
      <c r="BS18" s="35"/>
      <c r="BT18" s="35"/>
      <c r="BU18" s="35"/>
      <c r="BV18" s="35"/>
      <c r="BW18" s="35"/>
      <c r="BX18" s="35">
        <v>23870</v>
      </c>
      <c r="BY18" s="35">
        <v>750</v>
      </c>
      <c r="BZ18" s="35">
        <v>0</v>
      </c>
      <c r="CA18" s="35"/>
      <c r="CB18" s="35"/>
      <c r="CC18" s="35"/>
      <c r="CD18" s="35">
        <f t="shared" si="8"/>
        <v>24620</v>
      </c>
      <c r="CE18" s="35">
        <f t="shared" si="9"/>
        <v>73860</v>
      </c>
      <c r="CF18" s="35"/>
      <c r="CG18" s="35"/>
      <c r="CH18" s="35"/>
      <c r="CI18" s="35"/>
      <c r="CJ18" s="35"/>
      <c r="CK18" s="35"/>
      <c r="CL18" s="35">
        <f>25070+(1200*6)</f>
        <v>32270</v>
      </c>
      <c r="CM18" s="35">
        <v>750</v>
      </c>
      <c r="CN18" s="35">
        <v>0</v>
      </c>
      <c r="CO18" s="35"/>
      <c r="CP18" s="35"/>
      <c r="CQ18" s="35"/>
      <c r="CR18" s="35">
        <f t="shared" si="10"/>
        <v>33020</v>
      </c>
      <c r="CS18" s="35"/>
      <c r="CT18" s="35"/>
      <c r="CU18" s="35"/>
      <c r="CV18" s="35"/>
      <c r="CW18" s="35"/>
      <c r="CX18" s="35"/>
      <c r="CY18" s="35">
        <f>25070+7080+1870*6</f>
        <v>43370</v>
      </c>
      <c r="CZ18" s="35">
        <v>750</v>
      </c>
      <c r="DA18" s="35">
        <v>0</v>
      </c>
      <c r="DB18" s="35"/>
      <c r="DC18" s="35"/>
      <c r="DD18" s="35"/>
      <c r="DE18" s="35">
        <f t="shared" si="3"/>
        <v>44120</v>
      </c>
      <c r="DF18" s="35"/>
      <c r="DG18" s="35"/>
      <c r="DH18" s="35"/>
      <c r="DI18" s="35"/>
      <c r="DJ18" s="35"/>
      <c r="DK18" s="35"/>
      <c r="DL18" s="35">
        <v>25070</v>
      </c>
      <c r="DM18" s="35">
        <v>750</v>
      </c>
      <c r="DN18" s="35">
        <v>0</v>
      </c>
      <c r="DO18" s="35"/>
      <c r="DP18" s="35"/>
      <c r="DQ18" s="35"/>
      <c r="DR18" s="35">
        <f t="shared" si="11"/>
        <v>25820</v>
      </c>
      <c r="DS18" s="35">
        <f t="shared" si="12"/>
        <v>102960</v>
      </c>
      <c r="DT18" s="35"/>
      <c r="DU18" s="35"/>
      <c r="DV18" s="35"/>
      <c r="DW18" s="35"/>
      <c r="DX18" s="35"/>
      <c r="DY18" s="35"/>
      <c r="DZ18" s="35">
        <v>28120</v>
      </c>
      <c r="EA18" s="35">
        <v>750</v>
      </c>
      <c r="EB18" s="35">
        <v>0</v>
      </c>
      <c r="EC18" s="35"/>
      <c r="ED18" s="35"/>
      <c r="EE18" s="35"/>
      <c r="EF18" s="35">
        <f t="shared" si="13"/>
        <v>28870</v>
      </c>
      <c r="EG18" s="35"/>
      <c r="EH18" s="35"/>
      <c r="EI18" s="35"/>
      <c r="EJ18" s="35"/>
      <c r="EK18" s="35"/>
      <c r="EL18" s="35"/>
      <c r="EM18" s="35">
        <v>28120</v>
      </c>
      <c r="EN18" s="35">
        <v>750</v>
      </c>
      <c r="EO18" s="35">
        <v>0</v>
      </c>
      <c r="EP18" s="35"/>
      <c r="EQ18" s="35"/>
      <c r="ER18" s="35"/>
      <c r="ES18" s="35">
        <f t="shared" si="4"/>
        <v>28870</v>
      </c>
      <c r="ET18" s="35"/>
      <c r="EU18" s="35"/>
      <c r="EV18" s="35"/>
      <c r="EW18" s="35"/>
      <c r="EX18" s="35"/>
      <c r="EY18" s="35"/>
      <c r="EZ18" s="35">
        <v>28120</v>
      </c>
      <c r="FA18" s="35">
        <v>750</v>
      </c>
      <c r="FB18" s="35">
        <v>0</v>
      </c>
      <c r="FC18" s="35"/>
      <c r="FD18" s="35"/>
      <c r="FE18" s="35"/>
      <c r="FF18" s="35">
        <f t="shared" si="14"/>
        <v>28870</v>
      </c>
      <c r="FG18" s="35">
        <f t="shared" si="15"/>
        <v>86610</v>
      </c>
      <c r="FH18" s="35">
        <f t="shared" si="16"/>
        <v>337290</v>
      </c>
    </row>
    <row r="19" spans="1:164" x14ac:dyDescent="0.35">
      <c r="A19" s="34"/>
      <c r="B19" s="40"/>
      <c r="C19" s="41" t="s">
        <v>133</v>
      </c>
      <c r="D19" s="35"/>
      <c r="E19" s="35"/>
      <c r="F19" s="35"/>
      <c r="G19" s="35"/>
      <c r="H19" s="35"/>
      <c r="I19" s="35"/>
      <c r="J19" s="35">
        <v>23880</v>
      </c>
      <c r="K19" s="35">
        <v>750</v>
      </c>
      <c r="L19" s="35">
        <v>716</v>
      </c>
      <c r="M19" s="35"/>
      <c r="N19" s="35"/>
      <c r="O19" s="35"/>
      <c r="P19" s="35">
        <f t="shared" si="5"/>
        <v>25346</v>
      </c>
      <c r="Q19" s="35"/>
      <c r="R19" s="35"/>
      <c r="S19" s="35"/>
      <c r="T19" s="35"/>
      <c r="U19" s="35"/>
      <c r="V19" s="35"/>
      <c r="W19" s="35">
        <v>23880</v>
      </c>
      <c r="X19" s="35">
        <v>750</v>
      </c>
      <c r="Y19" s="35">
        <v>716</v>
      </c>
      <c r="Z19" s="35"/>
      <c r="AA19" s="35"/>
      <c r="AB19" s="35"/>
      <c r="AC19" s="35">
        <f t="shared" si="0"/>
        <v>25346</v>
      </c>
      <c r="AD19" s="35"/>
      <c r="AE19" s="35"/>
      <c r="AF19" s="35"/>
      <c r="AG19" s="35"/>
      <c r="AH19" s="35"/>
      <c r="AI19" s="35"/>
      <c r="AJ19" s="35">
        <v>23880</v>
      </c>
      <c r="AK19" s="35">
        <v>750</v>
      </c>
      <c r="AL19" s="35">
        <v>716</v>
      </c>
      <c r="AM19" s="35"/>
      <c r="AN19" s="35"/>
      <c r="AO19" s="35"/>
      <c r="AP19" s="35">
        <f t="shared" si="1"/>
        <v>25346</v>
      </c>
      <c r="AQ19" s="35">
        <f t="shared" si="2"/>
        <v>76038</v>
      </c>
      <c r="AR19" s="35"/>
      <c r="AS19" s="35"/>
      <c r="AT19" s="35"/>
      <c r="AU19" s="35"/>
      <c r="AV19" s="35"/>
      <c r="AW19" s="35"/>
      <c r="AX19" s="35">
        <v>23880</v>
      </c>
      <c r="AY19" s="35">
        <v>750</v>
      </c>
      <c r="AZ19" s="35">
        <v>716</v>
      </c>
      <c r="BA19" s="35"/>
      <c r="BB19" s="35"/>
      <c r="BC19" s="35"/>
      <c r="BD19" s="35">
        <f t="shared" si="6"/>
        <v>25346</v>
      </c>
      <c r="BE19" s="35"/>
      <c r="BF19" s="35"/>
      <c r="BG19" s="35"/>
      <c r="BH19" s="35"/>
      <c r="BI19" s="35"/>
      <c r="BJ19" s="35"/>
      <c r="BK19" s="35">
        <v>23880</v>
      </c>
      <c r="BL19" s="35">
        <v>750</v>
      </c>
      <c r="BM19" s="35">
        <v>716</v>
      </c>
      <c r="BN19" s="35"/>
      <c r="BO19" s="35"/>
      <c r="BP19" s="35"/>
      <c r="BQ19" s="35">
        <f t="shared" si="7"/>
        <v>25346</v>
      </c>
      <c r="BR19" s="35"/>
      <c r="BS19" s="35"/>
      <c r="BT19" s="35"/>
      <c r="BU19" s="35"/>
      <c r="BV19" s="35"/>
      <c r="BW19" s="35"/>
      <c r="BX19" s="35">
        <v>23880</v>
      </c>
      <c r="BY19" s="35">
        <v>750</v>
      </c>
      <c r="BZ19" s="35">
        <v>716</v>
      </c>
      <c r="CA19" s="35"/>
      <c r="CB19" s="35"/>
      <c r="CC19" s="35"/>
      <c r="CD19" s="35">
        <f t="shared" si="8"/>
        <v>25346</v>
      </c>
      <c r="CE19" s="35">
        <f t="shared" si="9"/>
        <v>76038</v>
      </c>
      <c r="CF19" s="35"/>
      <c r="CG19" s="35"/>
      <c r="CH19" s="35"/>
      <c r="CI19" s="35"/>
      <c r="CJ19" s="35"/>
      <c r="CK19" s="35"/>
      <c r="CL19" s="35">
        <f>25080+(1200*6)</f>
        <v>32280</v>
      </c>
      <c r="CM19" s="35">
        <v>750</v>
      </c>
      <c r="CN19" s="35">
        <f>752+(36*6)</f>
        <v>968</v>
      </c>
      <c r="CO19" s="35"/>
      <c r="CP19" s="35"/>
      <c r="CQ19" s="35"/>
      <c r="CR19" s="35">
        <f t="shared" si="10"/>
        <v>33998</v>
      </c>
      <c r="CS19" s="35"/>
      <c r="CT19" s="35"/>
      <c r="CU19" s="35"/>
      <c r="CV19" s="35"/>
      <c r="CW19" s="35"/>
      <c r="CX19" s="35"/>
      <c r="CY19" s="35">
        <f>25080+7020+1640*6</f>
        <v>41940</v>
      </c>
      <c r="CZ19" s="35">
        <v>750</v>
      </c>
      <c r="DA19" s="35">
        <f>752+210+49*6</f>
        <v>1256</v>
      </c>
      <c r="DB19" s="35"/>
      <c r="DC19" s="35"/>
      <c r="DD19" s="35"/>
      <c r="DE19" s="35">
        <f t="shared" si="3"/>
        <v>43946</v>
      </c>
      <c r="DF19" s="35"/>
      <c r="DG19" s="35"/>
      <c r="DH19" s="35"/>
      <c r="DI19" s="35"/>
      <c r="DJ19" s="35"/>
      <c r="DK19" s="35"/>
      <c r="DL19" s="35">
        <v>25080</v>
      </c>
      <c r="DM19" s="35">
        <v>750</v>
      </c>
      <c r="DN19" s="35">
        <v>752</v>
      </c>
      <c r="DO19" s="35"/>
      <c r="DP19" s="35"/>
      <c r="DQ19" s="35"/>
      <c r="DR19" s="35">
        <f t="shared" si="11"/>
        <v>26582</v>
      </c>
      <c r="DS19" s="35">
        <f t="shared" si="12"/>
        <v>104526</v>
      </c>
      <c r="DT19" s="35"/>
      <c r="DU19" s="35"/>
      <c r="DV19" s="35"/>
      <c r="DW19" s="35"/>
      <c r="DX19" s="35"/>
      <c r="DY19" s="35"/>
      <c r="DZ19" s="35">
        <v>27890</v>
      </c>
      <c r="EA19" s="35">
        <v>750</v>
      </c>
      <c r="EB19" s="35">
        <v>837</v>
      </c>
      <c r="EC19" s="35"/>
      <c r="ED19" s="35"/>
      <c r="EE19" s="35"/>
      <c r="EF19" s="35">
        <f t="shared" si="13"/>
        <v>29477</v>
      </c>
      <c r="EG19" s="35"/>
      <c r="EH19" s="35"/>
      <c r="EI19" s="35"/>
      <c r="EJ19" s="35"/>
      <c r="EK19" s="35"/>
      <c r="EL19" s="35"/>
      <c r="EM19" s="35">
        <v>27890</v>
      </c>
      <c r="EN19" s="35">
        <v>750</v>
      </c>
      <c r="EO19" s="35">
        <v>837</v>
      </c>
      <c r="EP19" s="35"/>
      <c r="EQ19" s="35"/>
      <c r="ER19" s="35"/>
      <c r="ES19" s="35">
        <f t="shared" si="4"/>
        <v>29477</v>
      </c>
      <c r="ET19" s="35"/>
      <c r="EU19" s="35"/>
      <c r="EV19" s="35"/>
      <c r="EW19" s="35"/>
      <c r="EX19" s="35"/>
      <c r="EY19" s="35"/>
      <c r="EZ19" s="35">
        <v>27890</v>
      </c>
      <c r="FA19" s="35">
        <v>750</v>
      </c>
      <c r="FB19" s="35">
        <v>837</v>
      </c>
      <c r="FC19" s="35"/>
      <c r="FD19" s="35"/>
      <c r="FE19" s="35"/>
      <c r="FF19" s="35">
        <f t="shared" si="14"/>
        <v>29477</v>
      </c>
      <c r="FG19" s="35">
        <f t="shared" si="15"/>
        <v>88431</v>
      </c>
      <c r="FH19" s="35">
        <f t="shared" si="16"/>
        <v>345033</v>
      </c>
    </row>
    <row r="20" spans="1:164" x14ac:dyDescent="0.35">
      <c r="A20" s="34"/>
      <c r="B20" s="40"/>
      <c r="C20" s="41" t="s">
        <v>237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>
        <f t="shared" ref="P20" si="17">SUM(D20:O20)</f>
        <v>0</v>
      </c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>
        <f t="shared" ref="AC20:AC22" si="18">SUM(Q20:AB20)</f>
        <v>0</v>
      </c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>
        <f t="shared" ref="AP20:AP22" si="19">SUM(AD20:AO20)</f>
        <v>0</v>
      </c>
      <c r="AQ20" s="35">
        <f t="shared" ref="AQ20:AQ23" si="20">+P20+AC20+AP20</f>
        <v>0</v>
      </c>
      <c r="AR20" s="35"/>
      <c r="AS20" s="35"/>
      <c r="AT20" s="35"/>
      <c r="AU20" s="35"/>
      <c r="AV20" s="35"/>
      <c r="AW20" s="35"/>
      <c r="AX20" s="35">
        <v>0</v>
      </c>
      <c r="AY20" s="35">
        <v>0</v>
      </c>
      <c r="AZ20" s="35">
        <v>0</v>
      </c>
      <c r="BA20" s="35"/>
      <c r="BB20" s="35"/>
      <c r="BC20" s="35"/>
      <c r="BD20" s="35">
        <f t="shared" ref="BD20" si="21">SUM(AR20:BC20)</f>
        <v>0</v>
      </c>
      <c r="BE20" s="35"/>
      <c r="BF20" s="35"/>
      <c r="BG20" s="35"/>
      <c r="BH20" s="35"/>
      <c r="BI20" s="35"/>
      <c r="BJ20" s="35"/>
      <c r="BK20" s="35">
        <v>0</v>
      </c>
      <c r="BL20" s="35">
        <v>0</v>
      </c>
      <c r="BM20" s="35">
        <v>0</v>
      </c>
      <c r="BN20" s="35"/>
      <c r="BO20" s="35"/>
      <c r="BP20" s="35"/>
      <c r="BQ20" s="35">
        <f t="shared" ref="BQ20" si="22">SUM(BE20:BP20)</f>
        <v>0</v>
      </c>
      <c r="BR20" s="35"/>
      <c r="BS20" s="35"/>
      <c r="BT20" s="35"/>
      <c r="BU20" s="35"/>
      <c r="BV20" s="35"/>
      <c r="BW20" s="35"/>
      <c r="BX20" s="35">
        <v>0</v>
      </c>
      <c r="BY20" s="35">
        <v>0</v>
      </c>
      <c r="BZ20" s="35">
        <v>0</v>
      </c>
      <c r="CA20" s="35"/>
      <c r="CB20" s="35"/>
      <c r="CC20" s="35"/>
      <c r="CD20" s="35">
        <f t="shared" ref="CD20" si="23">SUM(BR20:CC20)</f>
        <v>0</v>
      </c>
      <c r="CE20" s="35">
        <f t="shared" ref="CE20" si="24">+BD20+BQ20+CD20</f>
        <v>0</v>
      </c>
      <c r="CF20" s="35"/>
      <c r="CG20" s="35"/>
      <c r="CH20" s="35"/>
      <c r="CI20" s="35"/>
      <c r="CJ20" s="35"/>
      <c r="CK20" s="35"/>
      <c r="CL20" s="35">
        <v>0</v>
      </c>
      <c r="CM20" s="35">
        <v>0</v>
      </c>
      <c r="CN20" s="35">
        <v>0</v>
      </c>
      <c r="CO20" s="35"/>
      <c r="CP20" s="35"/>
      <c r="CQ20" s="35"/>
      <c r="CR20" s="35">
        <f t="shared" ref="CR20:CR23" si="25">SUM(CF20:CQ20)</f>
        <v>0</v>
      </c>
      <c r="CS20" s="35"/>
      <c r="CT20" s="35"/>
      <c r="CU20" s="35"/>
      <c r="CV20" s="35"/>
      <c r="CW20" s="35"/>
      <c r="CX20" s="35"/>
      <c r="CY20" s="35">
        <v>0</v>
      </c>
      <c r="CZ20" s="35">
        <v>0</v>
      </c>
      <c r="DA20" s="35">
        <v>0</v>
      </c>
      <c r="DB20" s="35"/>
      <c r="DC20" s="35"/>
      <c r="DD20" s="35"/>
      <c r="DE20" s="35">
        <f>SUM(CS20:DD20)</f>
        <v>0</v>
      </c>
      <c r="DF20" s="35"/>
      <c r="DG20" s="35"/>
      <c r="DH20" s="35"/>
      <c r="DI20" s="35"/>
      <c r="DJ20" s="35"/>
      <c r="DK20" s="35"/>
      <c r="DL20" s="35">
        <v>0</v>
      </c>
      <c r="DM20" s="35">
        <v>0</v>
      </c>
      <c r="DN20" s="35">
        <v>0</v>
      </c>
      <c r="DO20" s="35"/>
      <c r="DP20" s="35"/>
      <c r="DQ20" s="35"/>
      <c r="DR20" s="35">
        <f t="shared" ref="DR20:DR23" si="26">SUM(DF20:DQ20)</f>
        <v>0</v>
      </c>
      <c r="DS20" s="35">
        <f t="shared" ref="DS20:DS23" si="27">+CR20+DE20+DR20</f>
        <v>0</v>
      </c>
      <c r="DT20" s="35"/>
      <c r="DU20" s="35"/>
      <c r="DV20" s="35"/>
      <c r="DW20" s="35"/>
      <c r="DX20" s="35"/>
      <c r="DY20" s="35"/>
      <c r="DZ20" s="35">
        <v>0</v>
      </c>
      <c r="EA20" s="35">
        <v>0</v>
      </c>
      <c r="EB20" s="35">
        <v>0</v>
      </c>
      <c r="EC20" s="35"/>
      <c r="ED20" s="35"/>
      <c r="EE20" s="35"/>
      <c r="EF20" s="35">
        <f t="shared" ref="EF20:EF23" si="28">SUM(DT20:EE20)</f>
        <v>0</v>
      </c>
      <c r="EG20" s="35"/>
      <c r="EH20" s="35"/>
      <c r="EI20" s="35"/>
      <c r="EJ20" s="35"/>
      <c r="EK20" s="35"/>
      <c r="EL20" s="35"/>
      <c r="EM20" s="35">
        <v>0</v>
      </c>
      <c r="EN20" s="35">
        <v>0</v>
      </c>
      <c r="EO20" s="35">
        <v>0</v>
      </c>
      <c r="EP20" s="35"/>
      <c r="EQ20" s="35"/>
      <c r="ER20" s="35"/>
      <c r="ES20" s="35">
        <f t="shared" ref="ES20" si="29">SUM(EG20:ER20)</f>
        <v>0</v>
      </c>
      <c r="ET20" s="35"/>
      <c r="EU20" s="35"/>
      <c r="EV20" s="35"/>
      <c r="EW20" s="35"/>
      <c r="EX20" s="35"/>
      <c r="EY20" s="35"/>
      <c r="EZ20" s="35">
        <v>0</v>
      </c>
      <c r="FA20" s="35">
        <v>0</v>
      </c>
      <c r="FB20" s="35">
        <v>0</v>
      </c>
      <c r="FC20" s="35"/>
      <c r="FD20" s="35"/>
      <c r="FE20" s="35"/>
      <c r="FF20" s="35">
        <f t="shared" ref="FF20:FF23" si="30">SUM(ET20:FE20)</f>
        <v>0</v>
      </c>
      <c r="FG20" s="35">
        <f t="shared" ref="FG20:FG23" si="31">+EF20+ES20+FF20</f>
        <v>0</v>
      </c>
      <c r="FH20" s="35">
        <f t="shared" ref="FH20:FH23" si="32">+AQ20+CE20+DS20+FG20</f>
        <v>0</v>
      </c>
    </row>
    <row r="21" spans="1:164" x14ac:dyDescent="0.35">
      <c r="A21" s="34"/>
      <c r="B21" s="40"/>
      <c r="C21" s="41" t="s">
        <v>239</v>
      </c>
      <c r="D21" s="35"/>
      <c r="E21" s="35"/>
      <c r="F21" s="35"/>
      <c r="G21" s="35"/>
      <c r="H21" s="35"/>
      <c r="I21" s="35"/>
      <c r="J21" s="35"/>
      <c r="K21" s="35"/>
      <c r="L21" s="35"/>
      <c r="M21" s="35">
        <v>21000</v>
      </c>
      <c r="N21" s="35">
        <v>750</v>
      </c>
      <c r="O21" s="35">
        <v>630</v>
      </c>
      <c r="P21" s="35">
        <f t="shared" ref="P21:P22" si="33">SUM(D21:O21)</f>
        <v>22380</v>
      </c>
      <c r="Q21" s="35"/>
      <c r="R21" s="35"/>
      <c r="S21" s="35"/>
      <c r="T21" s="35"/>
      <c r="U21" s="35"/>
      <c r="V21" s="35"/>
      <c r="W21" s="35"/>
      <c r="X21" s="35"/>
      <c r="Y21" s="35"/>
      <c r="Z21" s="35">
        <v>21000</v>
      </c>
      <c r="AA21" s="35">
        <v>750</v>
      </c>
      <c r="AB21" s="35">
        <v>630</v>
      </c>
      <c r="AC21" s="35">
        <f t="shared" si="18"/>
        <v>22380</v>
      </c>
      <c r="AD21" s="35"/>
      <c r="AE21" s="35"/>
      <c r="AF21" s="35"/>
      <c r="AG21" s="35"/>
      <c r="AH21" s="35"/>
      <c r="AI21" s="35"/>
      <c r="AJ21" s="35"/>
      <c r="AK21" s="35"/>
      <c r="AL21" s="35"/>
      <c r="AM21" s="35">
        <v>21000</v>
      </c>
      <c r="AN21" s="35">
        <v>750</v>
      </c>
      <c r="AO21" s="35">
        <v>630</v>
      </c>
      <c r="AP21" s="35">
        <f t="shared" si="19"/>
        <v>22380</v>
      </c>
      <c r="AQ21" s="35">
        <f t="shared" si="20"/>
        <v>67140</v>
      </c>
      <c r="AR21" s="35"/>
      <c r="AS21" s="35"/>
      <c r="AT21" s="35"/>
      <c r="AU21" s="35"/>
      <c r="AV21" s="35"/>
      <c r="AW21" s="35"/>
      <c r="AX21" s="35"/>
      <c r="AY21" s="35"/>
      <c r="AZ21" s="35"/>
      <c r="BA21" s="35">
        <v>21000</v>
      </c>
      <c r="BB21" s="35">
        <v>750</v>
      </c>
      <c r="BC21" s="35">
        <v>630</v>
      </c>
      <c r="BD21" s="35">
        <f t="shared" ref="BD21:BD22" si="34">SUM(AR21:BC21)</f>
        <v>22380</v>
      </c>
      <c r="BE21" s="35"/>
      <c r="BF21" s="35"/>
      <c r="BG21" s="35"/>
      <c r="BH21" s="35"/>
      <c r="BI21" s="35"/>
      <c r="BJ21" s="35"/>
      <c r="BK21" s="35"/>
      <c r="BL21" s="35"/>
      <c r="BM21" s="35"/>
      <c r="BN21" s="35">
        <v>21000</v>
      </c>
      <c r="BO21" s="35">
        <v>750</v>
      </c>
      <c r="BP21" s="35">
        <v>630</v>
      </c>
      <c r="BQ21" s="35">
        <f t="shared" ref="BQ21:BQ22" si="35">SUM(BE21:BP21)</f>
        <v>22380</v>
      </c>
      <c r="BR21" s="35"/>
      <c r="BS21" s="35"/>
      <c r="BT21" s="35"/>
      <c r="BU21" s="35"/>
      <c r="BV21" s="35"/>
      <c r="BW21" s="35"/>
      <c r="BX21" s="35"/>
      <c r="BY21" s="35"/>
      <c r="BZ21" s="35"/>
      <c r="CA21" s="35">
        <v>21000</v>
      </c>
      <c r="CB21" s="35">
        <v>750</v>
      </c>
      <c r="CC21" s="35">
        <v>630</v>
      </c>
      <c r="CD21" s="35">
        <f>SUM(BR21:CC21)</f>
        <v>22380</v>
      </c>
      <c r="CE21" s="35">
        <f>+BD21+BQ21+CD21</f>
        <v>67140</v>
      </c>
      <c r="CF21" s="35"/>
      <c r="CG21" s="35"/>
      <c r="CH21" s="35"/>
      <c r="CI21" s="35"/>
      <c r="CJ21" s="35"/>
      <c r="CK21" s="35"/>
      <c r="CL21" s="35"/>
      <c r="CM21" s="35"/>
      <c r="CN21" s="35"/>
      <c r="CO21" s="35">
        <v>21000</v>
      </c>
      <c r="CP21" s="35">
        <v>750</v>
      </c>
      <c r="CQ21" s="35">
        <v>630</v>
      </c>
      <c r="CR21" s="35">
        <f t="shared" si="25"/>
        <v>22380</v>
      </c>
      <c r="CS21" s="35"/>
      <c r="CT21" s="35"/>
      <c r="CU21" s="35"/>
      <c r="CV21" s="35"/>
      <c r="CW21" s="35"/>
      <c r="CX21" s="35"/>
      <c r="CY21" s="35"/>
      <c r="CZ21" s="35"/>
      <c r="DA21" s="35"/>
      <c r="DB21" s="35">
        <f>21000+10500+270*6</f>
        <v>33120</v>
      </c>
      <c r="DC21" s="35">
        <v>750</v>
      </c>
      <c r="DD21" s="35">
        <f>630+318+8*6</f>
        <v>996</v>
      </c>
      <c r="DE21" s="35">
        <f t="shared" ref="DE21:DE22" si="36">SUM(CS21:DD21)</f>
        <v>34866</v>
      </c>
      <c r="DF21" s="35"/>
      <c r="DG21" s="35"/>
      <c r="DH21" s="35"/>
      <c r="DI21" s="35"/>
      <c r="DJ21" s="35"/>
      <c r="DK21" s="35"/>
      <c r="DL21" s="35"/>
      <c r="DM21" s="35"/>
      <c r="DN21" s="35"/>
      <c r="DO21" s="35">
        <v>21000</v>
      </c>
      <c r="DP21" s="35">
        <v>750</v>
      </c>
      <c r="DQ21" s="35">
        <v>630</v>
      </c>
      <c r="DR21" s="35">
        <f t="shared" si="26"/>
        <v>22380</v>
      </c>
      <c r="DS21" s="35">
        <f t="shared" si="27"/>
        <v>79626</v>
      </c>
      <c r="DT21" s="35"/>
      <c r="DU21" s="35"/>
      <c r="DV21" s="35"/>
      <c r="DW21" s="35"/>
      <c r="DX21" s="35"/>
      <c r="DY21" s="35"/>
      <c r="DZ21" s="35"/>
      <c r="EA21" s="35"/>
      <c r="EB21" s="35"/>
      <c r="EC21" s="35">
        <v>23020</v>
      </c>
      <c r="ED21" s="35">
        <v>750</v>
      </c>
      <c r="EE21" s="35">
        <v>691</v>
      </c>
      <c r="EF21" s="35">
        <f t="shared" si="28"/>
        <v>24461</v>
      </c>
      <c r="EG21" s="35"/>
      <c r="EH21" s="35"/>
      <c r="EI21" s="35"/>
      <c r="EJ21" s="35"/>
      <c r="EK21" s="35"/>
      <c r="EL21" s="35"/>
      <c r="EM21" s="35"/>
      <c r="EN21" s="35"/>
      <c r="EO21" s="35"/>
      <c r="EP21" s="35">
        <v>23020</v>
      </c>
      <c r="EQ21" s="35">
        <v>750</v>
      </c>
      <c r="ER21" s="35">
        <v>691</v>
      </c>
      <c r="ES21" s="35">
        <f t="shared" ref="ES21:ES22" si="37">SUM(EG21:ER21)</f>
        <v>24461</v>
      </c>
      <c r="ET21" s="35"/>
      <c r="EU21" s="35"/>
      <c r="EV21" s="35"/>
      <c r="EW21" s="35"/>
      <c r="EX21" s="35"/>
      <c r="EY21" s="35"/>
      <c r="EZ21" s="35"/>
      <c r="FA21" s="35"/>
      <c r="FB21" s="35"/>
      <c r="FC21" s="35">
        <v>23020</v>
      </c>
      <c r="FD21" s="35">
        <v>750</v>
      </c>
      <c r="FE21" s="35">
        <v>691</v>
      </c>
      <c r="FF21" s="35">
        <f t="shared" si="30"/>
        <v>24461</v>
      </c>
      <c r="FG21" s="35">
        <f t="shared" si="31"/>
        <v>73383</v>
      </c>
      <c r="FH21" s="35">
        <f t="shared" si="32"/>
        <v>287289</v>
      </c>
    </row>
    <row r="22" spans="1:164" x14ac:dyDescent="0.35">
      <c r="A22" s="34"/>
      <c r="B22" s="40"/>
      <c r="C22" s="41" t="s">
        <v>241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>
        <f t="shared" si="33"/>
        <v>0</v>
      </c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>
        <f t="shared" si="18"/>
        <v>0</v>
      </c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>
        <f t="shared" si="19"/>
        <v>0</v>
      </c>
      <c r="AQ22" s="35">
        <f t="shared" si="20"/>
        <v>0</v>
      </c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>
        <f t="shared" si="34"/>
        <v>0</v>
      </c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>
        <f t="shared" si="35"/>
        <v>0</v>
      </c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>
        <f t="shared" ref="CD22" si="38">SUM(BR22:CC22)</f>
        <v>0</v>
      </c>
      <c r="CE22" s="35">
        <f t="shared" ref="CE22:CE23" si="39">+BD22+BQ22+CD22</f>
        <v>0</v>
      </c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>
        <f t="shared" si="25"/>
        <v>0</v>
      </c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>
        <f t="shared" si="36"/>
        <v>0</v>
      </c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>
        <f t="shared" si="26"/>
        <v>0</v>
      </c>
      <c r="DS22" s="35">
        <f t="shared" si="27"/>
        <v>0</v>
      </c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>
        <f t="shared" si="28"/>
        <v>0</v>
      </c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>
        <f t="shared" si="37"/>
        <v>0</v>
      </c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>
        <f t="shared" si="30"/>
        <v>0</v>
      </c>
      <c r="FG22" s="35">
        <f t="shared" si="31"/>
        <v>0</v>
      </c>
      <c r="FH22" s="35">
        <f t="shared" si="32"/>
        <v>0</v>
      </c>
    </row>
    <row r="23" spans="1:164" x14ac:dyDescent="0.35">
      <c r="A23" s="34"/>
      <c r="B23" s="40"/>
      <c r="C23" s="41" t="s">
        <v>279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>
        <f t="shared" ref="P23" si="40">SUM(D23:O23)</f>
        <v>0</v>
      </c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>
        <f t="shared" ref="AC23" si="41">SUM(Q23:AB23)</f>
        <v>0</v>
      </c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>
        <f t="shared" ref="AP23" si="42">SUM(AD23:AO23)</f>
        <v>0</v>
      </c>
      <c r="AQ23" s="35">
        <f t="shared" si="20"/>
        <v>0</v>
      </c>
      <c r="AR23" s="35"/>
      <c r="AS23" s="35"/>
      <c r="AT23" s="35"/>
      <c r="AU23" s="35"/>
      <c r="AV23" s="35"/>
      <c r="AW23" s="35"/>
      <c r="AX23" s="35">
        <v>25538.71</v>
      </c>
      <c r="AY23" s="35">
        <v>750</v>
      </c>
      <c r="AZ23" s="35"/>
      <c r="BA23" s="35"/>
      <c r="BB23" s="35"/>
      <c r="BC23" s="35"/>
      <c r="BD23" s="35">
        <f t="shared" ref="BD23" si="43">SUM(AR23:BC23)</f>
        <v>26288.71</v>
      </c>
      <c r="BE23" s="35"/>
      <c r="BF23" s="35"/>
      <c r="BG23" s="35"/>
      <c r="BH23" s="35"/>
      <c r="BI23" s="35"/>
      <c r="BJ23" s="35"/>
      <c r="BK23" s="35">
        <v>27300</v>
      </c>
      <c r="BL23" s="35">
        <v>750</v>
      </c>
      <c r="BM23" s="35"/>
      <c r="BN23" s="35"/>
      <c r="BO23" s="35"/>
      <c r="BP23" s="35"/>
      <c r="BQ23" s="35">
        <f t="shared" ref="BQ23" si="44">SUM(BE23:BP23)</f>
        <v>28050</v>
      </c>
      <c r="BR23" s="35"/>
      <c r="BS23" s="35"/>
      <c r="BT23" s="35"/>
      <c r="BU23" s="35"/>
      <c r="BV23" s="35"/>
      <c r="BW23" s="35"/>
      <c r="BX23" s="35">
        <v>27300</v>
      </c>
      <c r="BY23" s="35">
        <v>750</v>
      </c>
      <c r="BZ23" s="35"/>
      <c r="CA23" s="35"/>
      <c r="CB23" s="35"/>
      <c r="CC23" s="35"/>
      <c r="CD23" s="35">
        <f t="shared" ref="CD23" si="45">SUM(BR23:CC23)</f>
        <v>28050</v>
      </c>
      <c r="CE23" s="35">
        <f t="shared" si="39"/>
        <v>82388.709999999992</v>
      </c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>
        <f t="shared" si="25"/>
        <v>0</v>
      </c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>
        <f t="shared" ref="DE23" si="46">SUM(CS23:DD23)</f>
        <v>0</v>
      </c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>
        <f t="shared" si="26"/>
        <v>0</v>
      </c>
      <c r="DS23" s="35">
        <f t="shared" si="27"/>
        <v>0</v>
      </c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>
        <f t="shared" si="28"/>
        <v>0</v>
      </c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>
        <f t="shared" ref="ES23" si="47">SUM(EG23:ER23)</f>
        <v>0</v>
      </c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>
        <f t="shared" si="30"/>
        <v>0</v>
      </c>
      <c r="FG23" s="35">
        <f t="shared" si="31"/>
        <v>0</v>
      </c>
      <c r="FH23" s="35">
        <f t="shared" si="32"/>
        <v>82388.709999999992</v>
      </c>
    </row>
    <row r="24" spans="1:164" x14ac:dyDescent="0.35">
      <c r="A24" s="34"/>
      <c r="B24" s="40"/>
      <c r="C24" s="41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>
        <f t="shared" si="5"/>
        <v>0</v>
      </c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>
        <f t="shared" si="0"/>
        <v>0</v>
      </c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>
        <f t="shared" si="1"/>
        <v>0</v>
      </c>
      <c r="AQ24" s="35">
        <f t="shared" si="2"/>
        <v>0</v>
      </c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>
        <f t="shared" si="6"/>
        <v>0</v>
      </c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>
        <f t="shared" si="7"/>
        <v>0</v>
      </c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>
        <f t="shared" si="8"/>
        <v>0</v>
      </c>
      <c r="CE24" s="35">
        <f t="shared" si="9"/>
        <v>0</v>
      </c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>
        <f t="shared" si="10"/>
        <v>0</v>
      </c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>
        <f t="shared" si="3"/>
        <v>0</v>
      </c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>
        <f t="shared" si="11"/>
        <v>0</v>
      </c>
      <c r="DS24" s="35">
        <f t="shared" si="12"/>
        <v>0</v>
      </c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>
        <f t="shared" si="13"/>
        <v>0</v>
      </c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>
        <f t="shared" si="4"/>
        <v>0</v>
      </c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>
        <f t="shared" si="14"/>
        <v>0</v>
      </c>
      <c r="FG24" s="35">
        <f t="shared" si="15"/>
        <v>0</v>
      </c>
      <c r="FH24" s="35">
        <f t="shared" si="16"/>
        <v>0</v>
      </c>
    </row>
    <row r="25" spans="1:164" x14ac:dyDescent="0.35">
      <c r="A25" s="48"/>
      <c r="B25" s="49" t="s">
        <v>116</v>
      </c>
      <c r="C25" s="50"/>
      <c r="D25" s="51">
        <f>SUM(D6:D24)</f>
        <v>0</v>
      </c>
      <c r="E25" s="51">
        <f t="shared" ref="E25:N25" si="48">SUM(E6:E24)</f>
        <v>0</v>
      </c>
      <c r="F25" s="51">
        <f t="shared" si="48"/>
        <v>0</v>
      </c>
      <c r="G25" s="51">
        <f t="shared" si="48"/>
        <v>0</v>
      </c>
      <c r="H25" s="51">
        <f t="shared" si="48"/>
        <v>0</v>
      </c>
      <c r="I25" s="51">
        <f t="shared" si="48"/>
        <v>0</v>
      </c>
      <c r="J25" s="51">
        <f t="shared" si="48"/>
        <v>271250</v>
      </c>
      <c r="K25" s="51">
        <f t="shared" si="48"/>
        <v>7500</v>
      </c>
      <c r="L25" s="51">
        <f t="shared" si="48"/>
        <v>4927</v>
      </c>
      <c r="M25" s="51">
        <f t="shared" si="48"/>
        <v>108720</v>
      </c>
      <c r="N25" s="51">
        <f t="shared" si="48"/>
        <v>3750</v>
      </c>
      <c r="O25" s="51">
        <f>SUM(O6:O24)</f>
        <v>3262</v>
      </c>
      <c r="P25" s="51">
        <f>SUM(D25:O25)</f>
        <v>399409</v>
      </c>
      <c r="Q25" s="51">
        <f>SUM(Q6:Q24)</f>
        <v>0</v>
      </c>
      <c r="R25" s="51">
        <f t="shared" ref="R25" si="49">SUM(R6:R24)</f>
        <v>0</v>
      </c>
      <c r="S25" s="51">
        <f t="shared" ref="S25" si="50">SUM(S6:S24)</f>
        <v>0</v>
      </c>
      <c r="T25" s="51">
        <f t="shared" ref="T25" si="51">SUM(T6:T24)</f>
        <v>0</v>
      </c>
      <c r="U25" s="51">
        <f t="shared" ref="U25" si="52">SUM(U6:U24)</f>
        <v>0</v>
      </c>
      <c r="V25" s="51">
        <f t="shared" ref="V25" si="53">SUM(V6:V24)</f>
        <v>0</v>
      </c>
      <c r="W25" s="51">
        <f t="shared" ref="W25" si="54">SUM(W6:W24)</f>
        <v>271250</v>
      </c>
      <c r="X25" s="51">
        <f t="shared" ref="X25" si="55">SUM(X6:X24)</f>
        <v>7500</v>
      </c>
      <c r="Y25" s="51">
        <f t="shared" ref="Y25" si="56">SUM(Y6:Y24)</f>
        <v>4927</v>
      </c>
      <c r="Z25" s="51">
        <f t="shared" ref="Z25" si="57">SUM(Z6:Z24)</f>
        <v>108720</v>
      </c>
      <c r="AA25" s="51">
        <f t="shared" ref="AA25" si="58">SUM(AA6:AA24)</f>
        <v>3750</v>
      </c>
      <c r="AB25" s="51">
        <f t="shared" ref="AB25" si="59">SUM(AB6:AB24)</f>
        <v>3262</v>
      </c>
      <c r="AC25" s="51">
        <f t="shared" si="0"/>
        <v>399409</v>
      </c>
      <c r="AD25" s="51">
        <f>SUM(AD6:AD24)</f>
        <v>0</v>
      </c>
      <c r="AE25" s="51">
        <f t="shared" ref="AE25" si="60">SUM(AE6:AE24)</f>
        <v>0</v>
      </c>
      <c r="AF25" s="51">
        <f t="shared" ref="AF25" si="61">SUM(AF6:AF24)</f>
        <v>0</v>
      </c>
      <c r="AG25" s="51">
        <f t="shared" ref="AG25" si="62">SUM(AG6:AG24)</f>
        <v>0</v>
      </c>
      <c r="AH25" s="51">
        <f t="shared" ref="AH25" si="63">SUM(AH6:AH24)</f>
        <v>0</v>
      </c>
      <c r="AI25" s="51">
        <f t="shared" ref="AI25" si="64">SUM(AI6:AI24)</f>
        <v>0</v>
      </c>
      <c r="AJ25" s="51">
        <f t="shared" ref="AJ25" si="65">SUM(AJ6:AJ24)</f>
        <v>271250</v>
      </c>
      <c r="AK25" s="51">
        <f t="shared" ref="AK25" si="66">SUM(AK6:AK24)</f>
        <v>7500</v>
      </c>
      <c r="AL25" s="51">
        <f t="shared" ref="AL25" si="67">SUM(AL6:AL24)</f>
        <v>4927</v>
      </c>
      <c r="AM25" s="51">
        <f t="shared" ref="AM25" si="68">SUM(AM6:AM24)</f>
        <v>108720</v>
      </c>
      <c r="AN25" s="51">
        <f t="shared" ref="AN25" si="69">SUM(AN6:AN24)</f>
        <v>3750</v>
      </c>
      <c r="AO25" s="51">
        <f t="shared" ref="AO25" si="70">SUM(AO6:AO24)</f>
        <v>3262</v>
      </c>
      <c r="AP25" s="51">
        <f t="shared" si="1"/>
        <v>399409</v>
      </c>
      <c r="AQ25" s="51">
        <f t="shared" si="2"/>
        <v>1198227</v>
      </c>
      <c r="AR25" s="51">
        <f>SUM(AR6:AR24)</f>
        <v>0</v>
      </c>
      <c r="AS25" s="51">
        <f t="shared" ref="AS25" si="71">SUM(AS6:AS24)</f>
        <v>0</v>
      </c>
      <c r="AT25" s="51">
        <f t="shared" ref="AT25" si="72">SUM(AT6:AT24)</f>
        <v>0</v>
      </c>
      <c r="AU25" s="51">
        <f t="shared" ref="AU25" si="73">SUM(AU6:AU24)</f>
        <v>0</v>
      </c>
      <c r="AV25" s="51">
        <f t="shared" ref="AV25" si="74">SUM(AV6:AV24)</f>
        <v>0</v>
      </c>
      <c r="AW25" s="51">
        <f t="shared" ref="AW25" si="75">SUM(AW6:AW24)</f>
        <v>0</v>
      </c>
      <c r="AX25" s="51">
        <f>SUM(AX6:AX24)</f>
        <v>296788.71000000002</v>
      </c>
      <c r="AY25" s="51">
        <f t="shared" ref="AY25" si="76">SUM(AY6:AY24)</f>
        <v>8250</v>
      </c>
      <c r="AZ25" s="51">
        <f t="shared" ref="AZ25" si="77">SUM(AZ6:AZ24)</f>
        <v>4927</v>
      </c>
      <c r="BA25" s="51">
        <f t="shared" ref="BA25" si="78">SUM(BA6:BA24)</f>
        <v>108720</v>
      </c>
      <c r="BB25" s="51">
        <f t="shared" ref="BB25" si="79">SUM(BB6:BB24)</f>
        <v>3750</v>
      </c>
      <c r="BC25" s="51">
        <f>SUM(BC6:BC24)</f>
        <v>3262</v>
      </c>
      <c r="BD25" s="51">
        <f>SUM(AR25:BC25)</f>
        <v>425697.71</v>
      </c>
      <c r="BE25" s="51">
        <f>SUM(BE6:BE24)</f>
        <v>0</v>
      </c>
      <c r="BF25" s="51">
        <f t="shared" ref="BF25" si="80">SUM(BF6:BF24)</f>
        <v>0</v>
      </c>
      <c r="BG25" s="51">
        <f t="shared" ref="BG25" si="81">SUM(BG6:BG24)</f>
        <v>0</v>
      </c>
      <c r="BH25" s="51">
        <f t="shared" ref="BH25" si="82">SUM(BH6:BH24)</f>
        <v>0</v>
      </c>
      <c r="BI25" s="51">
        <f t="shared" ref="BI25" si="83">SUM(BI6:BI24)</f>
        <v>0</v>
      </c>
      <c r="BJ25" s="51">
        <f t="shared" ref="BJ25" si="84">SUM(BJ6:BJ24)</f>
        <v>0</v>
      </c>
      <c r="BK25" s="51">
        <f t="shared" ref="BK25" si="85">SUM(BK6:BK24)</f>
        <v>298550</v>
      </c>
      <c r="BL25" s="51">
        <f t="shared" ref="BL25" si="86">SUM(BL6:BL24)</f>
        <v>8250</v>
      </c>
      <c r="BM25" s="51">
        <f t="shared" ref="BM25" si="87">SUM(BM6:BM24)</f>
        <v>4927</v>
      </c>
      <c r="BN25" s="51">
        <f t="shared" ref="BN25" si="88">SUM(BN6:BN24)</f>
        <v>108720</v>
      </c>
      <c r="BO25" s="51">
        <f t="shared" ref="BO25" si="89">SUM(BO6:BO24)</f>
        <v>3750</v>
      </c>
      <c r="BP25" s="51">
        <f t="shared" ref="BP25" si="90">SUM(BP6:BP24)</f>
        <v>3262</v>
      </c>
      <c r="BQ25" s="51">
        <f>SUM(BE25:BP25)</f>
        <v>427459</v>
      </c>
      <c r="BR25" s="51">
        <f>SUM(BR6:BR24)</f>
        <v>0</v>
      </c>
      <c r="BS25" s="51">
        <f t="shared" ref="BS25" si="91">SUM(BS6:BS24)</f>
        <v>0</v>
      </c>
      <c r="BT25" s="51">
        <f t="shared" ref="BT25" si="92">SUM(BT6:BT24)</f>
        <v>0</v>
      </c>
      <c r="BU25" s="51">
        <f t="shared" ref="BU25" si="93">SUM(BU6:BU24)</f>
        <v>0</v>
      </c>
      <c r="BV25" s="51">
        <f t="shared" ref="BV25" si="94">SUM(BV6:BV24)</f>
        <v>0</v>
      </c>
      <c r="BW25" s="51">
        <f t="shared" ref="BW25" si="95">SUM(BW6:BW24)</f>
        <v>0</v>
      </c>
      <c r="BX25" s="51">
        <f t="shared" ref="BX25" si="96">SUM(BX6:BX24)</f>
        <v>298550</v>
      </c>
      <c r="BY25" s="51">
        <f t="shared" ref="BY25" si="97">SUM(BY6:BY24)</f>
        <v>8250</v>
      </c>
      <c r="BZ25" s="51">
        <f t="shared" ref="BZ25" si="98">SUM(BZ6:BZ24)</f>
        <v>4927</v>
      </c>
      <c r="CA25" s="51">
        <f t="shared" ref="CA25" si="99">SUM(CA6:CA24)</f>
        <v>108720</v>
      </c>
      <c r="CB25" s="51">
        <f t="shared" ref="CB25" si="100">SUM(CB6:CB24)</f>
        <v>3750</v>
      </c>
      <c r="CC25" s="51">
        <f t="shared" ref="CC25" si="101">SUM(CC6:CC24)</f>
        <v>3262</v>
      </c>
      <c r="CD25" s="51">
        <f t="shared" si="8"/>
        <v>427459</v>
      </c>
      <c r="CE25" s="51">
        <f>+BD25+BQ25+CD25</f>
        <v>1280615.71</v>
      </c>
      <c r="CF25" s="51">
        <f>SUM(CF6:CF24)</f>
        <v>0</v>
      </c>
      <c r="CG25" s="51">
        <f t="shared" ref="CG25" si="102">SUM(CG6:CG24)</f>
        <v>0</v>
      </c>
      <c r="CH25" s="51">
        <f t="shared" ref="CH25" si="103">SUM(CH6:CH24)</f>
        <v>0</v>
      </c>
      <c r="CI25" s="51">
        <f t="shared" ref="CI25" si="104">SUM(CI6:CI24)</f>
        <v>0</v>
      </c>
      <c r="CJ25" s="51">
        <f t="shared" ref="CJ25" si="105">SUM(CJ6:CJ24)</f>
        <v>0</v>
      </c>
      <c r="CK25" s="51">
        <f t="shared" ref="CK25" si="106">SUM(CK6:CK24)</f>
        <v>0</v>
      </c>
      <c r="CL25" s="51">
        <f t="shared" ref="CL25" si="107">SUM(CL6:CL24)</f>
        <v>366520</v>
      </c>
      <c r="CM25" s="51">
        <f t="shared" ref="CM25" si="108">SUM(CM6:CM24)</f>
        <v>7500</v>
      </c>
      <c r="CN25" s="51">
        <f t="shared" ref="CN25" si="109">SUM(CN6:CN24)</f>
        <v>6663</v>
      </c>
      <c r="CO25" s="51">
        <f t="shared" ref="CO25" si="110">SUM(CO6:CO24)</f>
        <v>139520</v>
      </c>
      <c r="CP25" s="51">
        <f t="shared" ref="CP25" si="111">SUM(CP6:CP24)</f>
        <v>3750</v>
      </c>
      <c r="CQ25" s="51">
        <f t="shared" ref="CQ25" si="112">SUM(CQ6:CQ24)</f>
        <v>4184</v>
      </c>
      <c r="CR25" s="51">
        <f t="shared" si="10"/>
        <v>528137</v>
      </c>
      <c r="CS25" s="51">
        <f>SUM(CS6:CS24)</f>
        <v>0</v>
      </c>
      <c r="CT25" s="51">
        <f t="shared" ref="CT25" si="113">SUM(CT6:CT24)</f>
        <v>0</v>
      </c>
      <c r="CU25" s="51">
        <f t="shared" ref="CU25" si="114">SUM(CU6:CU24)</f>
        <v>0</v>
      </c>
      <c r="CV25" s="51">
        <f t="shared" ref="CV25" si="115">SUM(CV6:CV24)</f>
        <v>0</v>
      </c>
      <c r="CW25" s="51">
        <f t="shared" ref="CW25" si="116">SUM(CW6:CW24)</f>
        <v>0</v>
      </c>
      <c r="CX25" s="51">
        <f t="shared" ref="CX25" si="117">SUM(CX6:CX24)</f>
        <v>0</v>
      </c>
      <c r="CY25" s="51">
        <f t="shared" ref="CY25" si="118">SUM(CY6:CY24)</f>
        <v>454420</v>
      </c>
      <c r="CZ25" s="51">
        <f t="shared" ref="CZ25" si="119">SUM(CZ6:CZ24)</f>
        <v>7500</v>
      </c>
      <c r="DA25" s="51">
        <f t="shared" ref="DA25" si="120">SUM(DA6:DA24)</f>
        <v>8199</v>
      </c>
      <c r="DB25" s="51">
        <f t="shared" ref="DB25" si="121">SUM(DB6:DB24)</f>
        <v>154040</v>
      </c>
      <c r="DC25" s="51">
        <f t="shared" ref="DC25" si="122">SUM(DC6:DC24)</f>
        <v>3750</v>
      </c>
      <c r="DD25" s="51">
        <f t="shared" ref="DD25" si="123">SUM(DD6:DD24)</f>
        <v>4622</v>
      </c>
      <c r="DE25" s="51">
        <f>SUM(CS25:DD25)</f>
        <v>632531</v>
      </c>
      <c r="DF25" s="51">
        <f>SUM(DF6:DF24)</f>
        <v>0</v>
      </c>
      <c r="DG25" s="51">
        <f t="shared" ref="DG25" si="124">SUM(DG6:DG24)</f>
        <v>0</v>
      </c>
      <c r="DH25" s="51">
        <f t="shared" ref="DH25" si="125">SUM(DH6:DH24)</f>
        <v>0</v>
      </c>
      <c r="DI25" s="51">
        <f t="shared" ref="DI25" si="126">SUM(DI6:DI24)</f>
        <v>0</v>
      </c>
      <c r="DJ25" s="51">
        <f t="shared" ref="DJ25" si="127">SUM(DJ6:DJ24)</f>
        <v>0</v>
      </c>
      <c r="DK25" s="51">
        <f t="shared" ref="DK25" si="128">SUM(DK6:DK24)</f>
        <v>0</v>
      </c>
      <c r="DL25" s="51">
        <f t="shared" ref="DL25" si="129">SUM(DL6:DL24)</f>
        <v>284860</v>
      </c>
      <c r="DM25" s="51">
        <f t="shared" ref="DM25" si="130">SUM(DM6:DM24)</f>
        <v>7500</v>
      </c>
      <c r="DN25" s="51">
        <f t="shared" ref="DN25" si="131">SUM(DN6:DN24)</f>
        <v>5175</v>
      </c>
      <c r="DO25" s="51">
        <f t="shared" ref="DO25" si="132">SUM(DO6:DO24)</f>
        <v>113120</v>
      </c>
      <c r="DP25" s="51">
        <f t="shared" ref="DP25" si="133">SUM(DP6:DP24)</f>
        <v>3750</v>
      </c>
      <c r="DQ25" s="51">
        <f t="shared" ref="DQ25" si="134">SUM(DQ6:DQ24)</f>
        <v>3392</v>
      </c>
      <c r="DR25" s="51">
        <f t="shared" si="11"/>
        <v>417797</v>
      </c>
      <c r="DS25" s="51">
        <f>+CR25+DE25+DR25</f>
        <v>1578465</v>
      </c>
      <c r="DT25" s="51">
        <f>SUM(DT6:DT24)</f>
        <v>0</v>
      </c>
      <c r="DU25" s="51">
        <f t="shared" ref="DU25" si="135">SUM(DU6:DU24)</f>
        <v>0</v>
      </c>
      <c r="DV25" s="51">
        <f t="shared" ref="DV25" si="136">SUM(DV6:DV24)</f>
        <v>0</v>
      </c>
      <c r="DW25" s="51">
        <f t="shared" ref="DW25" si="137">SUM(DW6:DW24)</f>
        <v>0</v>
      </c>
      <c r="DX25" s="51">
        <f t="shared" ref="DX25" si="138">SUM(DX6:DX24)</f>
        <v>0</v>
      </c>
      <c r="DY25" s="51">
        <f t="shared" ref="DY25" si="139">SUM(DY6:DY24)</f>
        <v>0</v>
      </c>
      <c r="DZ25" s="51">
        <f t="shared" ref="DZ25" si="140">SUM(DZ6:DZ24)</f>
        <v>313120</v>
      </c>
      <c r="EA25" s="51">
        <f t="shared" ref="EA25" si="141">SUM(EA6:EA24)</f>
        <v>7500</v>
      </c>
      <c r="EB25" s="51">
        <f t="shared" ref="EB25" si="142">SUM(EB6:EB24)</f>
        <v>5680</v>
      </c>
      <c r="EC25" s="51">
        <f t="shared" ref="EC25" si="143">SUM(EC6:EC24)</f>
        <v>119940</v>
      </c>
      <c r="ED25" s="51">
        <f t="shared" ref="ED25" si="144">SUM(ED6:ED24)</f>
        <v>3750</v>
      </c>
      <c r="EE25" s="51">
        <f t="shared" ref="EE25" si="145">SUM(EE6:EE24)</f>
        <v>3597</v>
      </c>
      <c r="EF25" s="51">
        <f t="shared" si="13"/>
        <v>453587</v>
      </c>
      <c r="EG25" s="51">
        <f>SUM(EG6:EG24)</f>
        <v>0</v>
      </c>
      <c r="EH25" s="51">
        <f t="shared" ref="EH25" si="146">SUM(EH6:EH24)</f>
        <v>0</v>
      </c>
      <c r="EI25" s="51">
        <f t="shared" ref="EI25" si="147">SUM(EI6:EI24)</f>
        <v>0</v>
      </c>
      <c r="EJ25" s="51">
        <f t="shared" ref="EJ25" si="148">SUM(EJ6:EJ24)</f>
        <v>0</v>
      </c>
      <c r="EK25" s="51">
        <f t="shared" ref="EK25" si="149">SUM(EK6:EK24)</f>
        <v>0</v>
      </c>
      <c r="EL25" s="51">
        <f t="shared" ref="EL25" si="150">SUM(EL6:EL24)</f>
        <v>0</v>
      </c>
      <c r="EM25" s="51">
        <f t="shared" ref="EM25" si="151">SUM(EM6:EM24)</f>
        <v>313120</v>
      </c>
      <c r="EN25" s="51">
        <f t="shared" ref="EN25" si="152">SUM(EN6:EN24)</f>
        <v>7500</v>
      </c>
      <c r="EO25" s="51">
        <f t="shared" ref="EO25" si="153">SUM(EO6:EO24)</f>
        <v>5680</v>
      </c>
      <c r="EP25" s="51">
        <f t="shared" ref="EP25" si="154">SUM(EP6:EP24)</f>
        <v>119940</v>
      </c>
      <c r="EQ25" s="51">
        <f t="shared" ref="EQ25" si="155">SUM(EQ6:EQ24)</f>
        <v>3750</v>
      </c>
      <c r="ER25" s="51">
        <f t="shared" ref="ER25" si="156">SUM(ER6:ER24)</f>
        <v>3597</v>
      </c>
      <c r="ES25" s="51">
        <f>SUM(EG25:ER25)</f>
        <v>453587</v>
      </c>
      <c r="ET25" s="51">
        <f>SUM(ET6:ET24)</f>
        <v>0</v>
      </c>
      <c r="EU25" s="51">
        <f t="shared" ref="EU25" si="157">SUM(EU6:EU24)</f>
        <v>0</v>
      </c>
      <c r="EV25" s="51">
        <f t="shared" ref="EV25" si="158">SUM(EV6:EV24)</f>
        <v>0</v>
      </c>
      <c r="EW25" s="51">
        <f t="shared" ref="EW25" si="159">SUM(EW6:EW24)</f>
        <v>0</v>
      </c>
      <c r="EX25" s="51">
        <f t="shared" ref="EX25" si="160">SUM(EX6:EX24)</f>
        <v>0</v>
      </c>
      <c r="EY25" s="51">
        <f t="shared" ref="EY25" si="161">SUM(EY6:EY24)</f>
        <v>0</v>
      </c>
      <c r="EZ25" s="51">
        <f t="shared" ref="EZ25" si="162">SUM(EZ6:EZ24)</f>
        <v>313120</v>
      </c>
      <c r="FA25" s="51">
        <f t="shared" ref="FA25" si="163">SUM(FA6:FA24)</f>
        <v>7500</v>
      </c>
      <c r="FB25" s="51">
        <f t="shared" ref="FB25" si="164">SUM(FB6:FB24)</f>
        <v>5680</v>
      </c>
      <c r="FC25" s="51">
        <f t="shared" ref="FC25" si="165">SUM(FC6:FC24)</f>
        <v>119940</v>
      </c>
      <c r="FD25" s="51">
        <f t="shared" ref="FD25" si="166">SUM(FD6:FD24)</f>
        <v>3750</v>
      </c>
      <c r="FE25" s="51">
        <f t="shared" ref="FE25" si="167">SUM(FE6:FE24)</f>
        <v>3597</v>
      </c>
      <c r="FF25" s="51">
        <f t="shared" si="14"/>
        <v>453587</v>
      </c>
      <c r="FG25" s="51">
        <f>+EF25+ES25+FF25</f>
        <v>1360761</v>
      </c>
      <c r="FH25" s="35">
        <f>+AQ25+CE25+DS25+FG25</f>
        <v>5418068.71</v>
      </c>
    </row>
    <row r="26" spans="1:164" x14ac:dyDescent="0.35">
      <c r="A26" s="34" t="s">
        <v>4</v>
      </c>
      <c r="B26" s="40" t="s">
        <v>117</v>
      </c>
      <c r="C26" s="41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>
        <f t="shared" si="5"/>
        <v>0</v>
      </c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>
        <f t="shared" si="0"/>
        <v>0</v>
      </c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>
        <f t="shared" si="1"/>
        <v>0</v>
      </c>
      <c r="AQ26" s="35">
        <f t="shared" si="2"/>
        <v>0</v>
      </c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>
        <f t="shared" si="6"/>
        <v>0</v>
      </c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>
        <f t="shared" si="7"/>
        <v>0</v>
      </c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>
        <f t="shared" si="8"/>
        <v>0</v>
      </c>
      <c r="CE26" s="35">
        <f t="shared" si="9"/>
        <v>0</v>
      </c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>
        <f t="shared" si="10"/>
        <v>0</v>
      </c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>
        <f t="shared" si="3"/>
        <v>0</v>
      </c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>
        <f t="shared" si="11"/>
        <v>0</v>
      </c>
      <c r="DS26" s="35">
        <f t="shared" si="12"/>
        <v>0</v>
      </c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>
        <f t="shared" si="13"/>
        <v>0</v>
      </c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>
        <f t="shared" si="4"/>
        <v>0</v>
      </c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>
        <f t="shared" si="14"/>
        <v>0</v>
      </c>
      <c r="FG26" s="35">
        <f t="shared" si="15"/>
        <v>0</v>
      </c>
      <c r="FH26" s="35">
        <f t="shared" si="16"/>
        <v>0</v>
      </c>
    </row>
    <row r="27" spans="1:164" x14ac:dyDescent="0.35">
      <c r="A27" s="34"/>
      <c r="B27" s="40"/>
      <c r="C27" s="41" t="s">
        <v>134</v>
      </c>
      <c r="D27" s="35">
        <v>28590</v>
      </c>
      <c r="E27" s="35">
        <v>750</v>
      </c>
      <c r="F27" s="35">
        <v>0</v>
      </c>
      <c r="G27" s="35"/>
      <c r="H27" s="35"/>
      <c r="I27" s="35"/>
      <c r="J27" s="35"/>
      <c r="K27" s="35"/>
      <c r="L27" s="35"/>
      <c r="M27" s="35"/>
      <c r="N27" s="35"/>
      <c r="O27" s="35"/>
      <c r="P27" s="35">
        <f t="shared" si="5"/>
        <v>29340</v>
      </c>
      <c r="Q27" s="35">
        <v>28590</v>
      </c>
      <c r="R27" s="35">
        <v>750</v>
      </c>
      <c r="S27" s="35">
        <v>0</v>
      </c>
      <c r="T27" s="35"/>
      <c r="U27" s="35"/>
      <c r="V27" s="35"/>
      <c r="W27" s="35"/>
      <c r="X27" s="35"/>
      <c r="Y27" s="35"/>
      <c r="Z27" s="35"/>
      <c r="AA27" s="35"/>
      <c r="AB27" s="35"/>
      <c r="AC27" s="35">
        <f t="shared" si="0"/>
        <v>29340</v>
      </c>
      <c r="AD27" s="35">
        <v>28590</v>
      </c>
      <c r="AE27" s="35">
        <v>750</v>
      </c>
      <c r="AF27" s="35">
        <v>0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>
        <f t="shared" si="1"/>
        <v>29340</v>
      </c>
      <c r="AQ27" s="35">
        <f t="shared" si="2"/>
        <v>88020</v>
      </c>
      <c r="AR27" s="35">
        <v>28590</v>
      </c>
      <c r="AS27" s="35">
        <v>750</v>
      </c>
      <c r="AT27" s="35">
        <v>0</v>
      </c>
      <c r="AU27" s="35"/>
      <c r="AV27" s="35"/>
      <c r="AW27" s="35"/>
      <c r="AX27" s="35"/>
      <c r="AY27" s="35"/>
      <c r="AZ27" s="35"/>
      <c r="BA27" s="35"/>
      <c r="BB27" s="35"/>
      <c r="BC27" s="35"/>
      <c r="BD27" s="35">
        <f t="shared" si="6"/>
        <v>29340</v>
      </c>
      <c r="BE27" s="35">
        <v>28590</v>
      </c>
      <c r="BF27" s="35">
        <v>750</v>
      </c>
      <c r="BG27" s="35">
        <v>0</v>
      </c>
      <c r="BH27" s="35"/>
      <c r="BI27" s="35"/>
      <c r="BJ27" s="35"/>
      <c r="BK27" s="35"/>
      <c r="BL27" s="35"/>
      <c r="BM27" s="35"/>
      <c r="BN27" s="35"/>
      <c r="BO27" s="35"/>
      <c r="BP27" s="35"/>
      <c r="BQ27" s="35">
        <f t="shared" si="7"/>
        <v>29340</v>
      </c>
      <c r="BR27" s="35">
        <v>28590</v>
      </c>
      <c r="BS27" s="35">
        <v>750</v>
      </c>
      <c r="BT27" s="35">
        <v>0</v>
      </c>
      <c r="BU27" s="35"/>
      <c r="BV27" s="35"/>
      <c r="BW27" s="35"/>
      <c r="BX27" s="35"/>
      <c r="BY27" s="35"/>
      <c r="BZ27" s="35"/>
      <c r="CA27" s="35"/>
      <c r="CB27" s="35"/>
      <c r="CC27" s="35"/>
      <c r="CD27" s="35">
        <f t="shared" si="8"/>
        <v>29340</v>
      </c>
      <c r="CE27" s="35">
        <f t="shared" si="9"/>
        <v>88020</v>
      </c>
      <c r="CF27" s="35">
        <f>29970+(1380*6)</f>
        <v>38250</v>
      </c>
      <c r="CG27" s="35">
        <v>750</v>
      </c>
      <c r="CH27" s="35">
        <v>0</v>
      </c>
      <c r="CI27" s="35"/>
      <c r="CJ27" s="35"/>
      <c r="CK27" s="35"/>
      <c r="CL27" s="35"/>
      <c r="CM27" s="35"/>
      <c r="CN27" s="35"/>
      <c r="CO27" s="35"/>
      <c r="CP27" s="35"/>
      <c r="CQ27" s="35"/>
      <c r="CR27" s="35">
        <f t="shared" si="10"/>
        <v>39000</v>
      </c>
      <c r="CS27" s="35">
        <f>29970+2800*6</f>
        <v>46770</v>
      </c>
      <c r="CT27" s="35">
        <v>750</v>
      </c>
      <c r="CU27" s="35">
        <v>0</v>
      </c>
      <c r="CV27" s="35"/>
      <c r="CW27" s="35"/>
      <c r="CX27" s="35"/>
      <c r="CY27" s="35"/>
      <c r="CZ27" s="35"/>
      <c r="DA27" s="35"/>
      <c r="DB27" s="35"/>
      <c r="DC27" s="35"/>
      <c r="DD27" s="35"/>
      <c r="DE27" s="35">
        <f t="shared" si="3"/>
        <v>47520</v>
      </c>
      <c r="DF27" s="35">
        <v>29970</v>
      </c>
      <c r="DG27" s="35">
        <v>750</v>
      </c>
      <c r="DH27" s="35">
        <v>0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>
        <f t="shared" si="11"/>
        <v>30720</v>
      </c>
      <c r="DS27" s="35">
        <f t="shared" si="12"/>
        <v>117240</v>
      </c>
      <c r="DT27" s="35">
        <v>32770</v>
      </c>
      <c r="DU27" s="35">
        <v>750</v>
      </c>
      <c r="DV27" s="35">
        <v>0</v>
      </c>
      <c r="DW27" s="35"/>
      <c r="DX27" s="35"/>
      <c r="DY27" s="35"/>
      <c r="DZ27" s="35"/>
      <c r="EA27" s="35"/>
      <c r="EB27" s="35"/>
      <c r="EC27" s="35"/>
      <c r="ED27" s="35"/>
      <c r="EE27" s="35"/>
      <c r="EF27" s="35">
        <f t="shared" si="13"/>
        <v>33520</v>
      </c>
      <c r="EG27" s="35">
        <v>32770</v>
      </c>
      <c r="EH27" s="35">
        <v>750</v>
      </c>
      <c r="EI27" s="35">
        <v>0</v>
      </c>
      <c r="EJ27" s="35"/>
      <c r="EK27" s="35"/>
      <c r="EL27" s="35"/>
      <c r="EM27" s="35"/>
      <c r="EN27" s="35"/>
      <c r="EO27" s="35"/>
      <c r="EP27" s="35"/>
      <c r="EQ27" s="35"/>
      <c r="ER27" s="35"/>
      <c r="ES27" s="35">
        <f t="shared" si="4"/>
        <v>33520</v>
      </c>
      <c r="ET27" s="35">
        <v>32770</v>
      </c>
      <c r="EU27" s="35">
        <v>750</v>
      </c>
      <c r="EV27" s="35">
        <v>0</v>
      </c>
      <c r="EW27" s="35"/>
      <c r="EX27" s="35"/>
      <c r="EY27" s="35"/>
      <c r="EZ27" s="35"/>
      <c r="FA27" s="35"/>
      <c r="FB27" s="35"/>
      <c r="FC27" s="35"/>
      <c r="FD27" s="35"/>
      <c r="FE27" s="35"/>
      <c r="FF27" s="35">
        <f t="shared" si="14"/>
        <v>33520</v>
      </c>
      <c r="FG27" s="35">
        <f t="shared" si="15"/>
        <v>100560</v>
      </c>
      <c r="FH27" s="35">
        <f t="shared" si="16"/>
        <v>393840</v>
      </c>
    </row>
    <row r="28" spans="1:164" x14ac:dyDescent="0.35">
      <c r="A28" s="34"/>
      <c r="B28" s="40"/>
      <c r="C28" s="41" t="s">
        <v>135</v>
      </c>
      <c r="D28" s="35">
        <v>29910</v>
      </c>
      <c r="E28" s="35">
        <v>750</v>
      </c>
      <c r="F28" s="35">
        <v>897</v>
      </c>
      <c r="G28" s="35"/>
      <c r="H28" s="35"/>
      <c r="I28" s="35"/>
      <c r="J28" s="35"/>
      <c r="K28" s="35"/>
      <c r="L28" s="35"/>
      <c r="M28" s="35"/>
      <c r="N28" s="35"/>
      <c r="O28" s="35"/>
      <c r="P28" s="35">
        <f t="shared" si="5"/>
        <v>31557</v>
      </c>
      <c r="Q28" s="35">
        <v>29910</v>
      </c>
      <c r="R28" s="35">
        <v>750</v>
      </c>
      <c r="S28" s="35">
        <v>897</v>
      </c>
      <c r="T28" s="35"/>
      <c r="U28" s="35"/>
      <c r="V28" s="35"/>
      <c r="W28" s="35"/>
      <c r="X28" s="35"/>
      <c r="Y28" s="35"/>
      <c r="Z28" s="35"/>
      <c r="AA28" s="35"/>
      <c r="AB28" s="35"/>
      <c r="AC28" s="35">
        <f t="shared" si="0"/>
        <v>31557</v>
      </c>
      <c r="AD28" s="35">
        <v>29910</v>
      </c>
      <c r="AE28" s="35">
        <v>750</v>
      </c>
      <c r="AF28" s="35">
        <v>897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>
        <f t="shared" si="1"/>
        <v>31557</v>
      </c>
      <c r="AQ28" s="35">
        <f t="shared" si="2"/>
        <v>94671</v>
      </c>
      <c r="AR28" s="35">
        <v>29910</v>
      </c>
      <c r="AS28" s="35">
        <v>750</v>
      </c>
      <c r="AT28" s="35">
        <v>897</v>
      </c>
      <c r="AU28" s="35"/>
      <c r="AV28" s="35"/>
      <c r="AW28" s="35"/>
      <c r="AX28" s="35"/>
      <c r="AY28" s="35"/>
      <c r="AZ28" s="35"/>
      <c r="BA28" s="35"/>
      <c r="BB28" s="35"/>
      <c r="BC28" s="35"/>
      <c r="BD28" s="35">
        <f t="shared" si="6"/>
        <v>31557</v>
      </c>
      <c r="BE28" s="35">
        <v>29910</v>
      </c>
      <c r="BF28" s="35">
        <v>750</v>
      </c>
      <c r="BG28" s="35">
        <v>897</v>
      </c>
      <c r="BH28" s="35"/>
      <c r="BI28" s="35"/>
      <c r="BJ28" s="35"/>
      <c r="BK28" s="35"/>
      <c r="BL28" s="35"/>
      <c r="BM28" s="35"/>
      <c r="BN28" s="35"/>
      <c r="BO28" s="35"/>
      <c r="BP28" s="35"/>
      <c r="BQ28" s="35">
        <f t="shared" si="7"/>
        <v>31557</v>
      </c>
      <c r="BR28" s="35">
        <v>29910</v>
      </c>
      <c r="BS28" s="35">
        <v>750</v>
      </c>
      <c r="BT28" s="35">
        <v>897</v>
      </c>
      <c r="BU28" s="35"/>
      <c r="BV28" s="35"/>
      <c r="BW28" s="35"/>
      <c r="BX28" s="35"/>
      <c r="BY28" s="35"/>
      <c r="BZ28" s="35"/>
      <c r="CA28" s="35"/>
      <c r="CB28" s="35"/>
      <c r="CC28" s="35"/>
      <c r="CD28" s="35">
        <f t="shared" si="8"/>
        <v>31557</v>
      </c>
      <c r="CE28" s="35">
        <f t="shared" si="9"/>
        <v>94671</v>
      </c>
      <c r="CF28" s="35">
        <f>31410+(1500*6)</f>
        <v>40410</v>
      </c>
      <c r="CG28" s="35">
        <v>750</v>
      </c>
      <c r="CH28" s="35">
        <f>942+(45*6)</f>
        <v>1212</v>
      </c>
      <c r="CI28" s="35"/>
      <c r="CJ28" s="35"/>
      <c r="CK28" s="35"/>
      <c r="CL28" s="35"/>
      <c r="CM28" s="35"/>
      <c r="CN28" s="35"/>
      <c r="CO28" s="35"/>
      <c r="CP28" s="35"/>
      <c r="CQ28" s="35"/>
      <c r="CR28" s="35">
        <f t="shared" si="10"/>
        <v>42372</v>
      </c>
      <c r="CS28" s="35">
        <f>31410+540+420*6</f>
        <v>34470</v>
      </c>
      <c r="CT28" s="35">
        <v>750</v>
      </c>
      <c r="CU28" s="35">
        <f>942+18+13*6</f>
        <v>1038</v>
      </c>
      <c r="CV28" s="35"/>
      <c r="CW28" s="35"/>
      <c r="CX28" s="35"/>
      <c r="CY28" s="35"/>
      <c r="CZ28" s="35"/>
      <c r="DA28" s="35"/>
      <c r="DB28" s="35"/>
      <c r="DC28" s="35"/>
      <c r="DD28" s="35"/>
      <c r="DE28" s="35">
        <f t="shared" si="3"/>
        <v>36258</v>
      </c>
      <c r="DF28" s="35">
        <v>31410</v>
      </c>
      <c r="DG28" s="35">
        <v>750</v>
      </c>
      <c r="DH28" s="35">
        <v>942</v>
      </c>
      <c r="DI28" s="35"/>
      <c r="DJ28" s="35"/>
      <c r="DK28" s="35"/>
      <c r="DL28" s="35"/>
      <c r="DM28" s="35"/>
      <c r="DN28" s="35"/>
      <c r="DO28" s="35"/>
      <c r="DP28" s="35"/>
      <c r="DQ28" s="35"/>
      <c r="DR28" s="35">
        <f t="shared" si="11"/>
        <v>33102</v>
      </c>
      <c r="DS28" s="35">
        <f t="shared" si="12"/>
        <v>111732</v>
      </c>
      <c r="DT28" s="35">
        <v>31920</v>
      </c>
      <c r="DU28" s="35">
        <v>750</v>
      </c>
      <c r="DV28" s="35">
        <v>958</v>
      </c>
      <c r="DW28" s="35"/>
      <c r="DX28" s="35"/>
      <c r="DY28" s="35"/>
      <c r="DZ28" s="35"/>
      <c r="EA28" s="35"/>
      <c r="EB28" s="35"/>
      <c r="EC28" s="35"/>
      <c r="ED28" s="35"/>
      <c r="EE28" s="35"/>
      <c r="EF28" s="35">
        <f t="shared" si="13"/>
        <v>33628</v>
      </c>
      <c r="EG28" s="35">
        <v>31920</v>
      </c>
      <c r="EH28" s="35">
        <v>750</v>
      </c>
      <c r="EI28" s="35">
        <v>958</v>
      </c>
      <c r="EJ28" s="35"/>
      <c r="EK28" s="35"/>
      <c r="EL28" s="35"/>
      <c r="EM28" s="35"/>
      <c r="EN28" s="35"/>
      <c r="EO28" s="35"/>
      <c r="EP28" s="35"/>
      <c r="EQ28" s="35"/>
      <c r="ER28" s="35"/>
      <c r="ES28" s="35">
        <f t="shared" si="4"/>
        <v>33628</v>
      </c>
      <c r="ET28" s="35">
        <v>31920</v>
      </c>
      <c r="EU28" s="35">
        <v>750</v>
      </c>
      <c r="EV28" s="35">
        <v>958</v>
      </c>
      <c r="EW28" s="35"/>
      <c r="EX28" s="35"/>
      <c r="EY28" s="35"/>
      <c r="EZ28" s="35"/>
      <c r="FA28" s="35"/>
      <c r="FB28" s="35"/>
      <c r="FC28" s="35"/>
      <c r="FD28" s="35"/>
      <c r="FE28" s="35"/>
      <c r="FF28" s="35">
        <f t="shared" si="14"/>
        <v>33628</v>
      </c>
      <c r="FG28" s="35">
        <f t="shared" si="15"/>
        <v>100884</v>
      </c>
      <c r="FH28" s="35">
        <f t="shared" si="16"/>
        <v>401958</v>
      </c>
    </row>
    <row r="29" spans="1:164" x14ac:dyDescent="0.35">
      <c r="A29" s="34"/>
      <c r="B29" s="40"/>
      <c r="C29" s="41" t="s">
        <v>136</v>
      </c>
      <c r="D29" s="35">
        <v>28950</v>
      </c>
      <c r="E29" s="35">
        <v>750</v>
      </c>
      <c r="F29" s="35">
        <v>869</v>
      </c>
      <c r="G29" s="35"/>
      <c r="H29" s="35"/>
      <c r="I29" s="35"/>
      <c r="J29" s="35"/>
      <c r="K29" s="35"/>
      <c r="L29" s="35"/>
      <c r="M29" s="35"/>
      <c r="N29" s="35"/>
      <c r="O29" s="35"/>
      <c r="P29" s="35">
        <f t="shared" si="5"/>
        <v>30569</v>
      </c>
      <c r="Q29" s="35">
        <v>28950</v>
      </c>
      <c r="R29" s="35">
        <v>750</v>
      </c>
      <c r="S29" s="35">
        <v>869</v>
      </c>
      <c r="T29" s="35"/>
      <c r="U29" s="35"/>
      <c r="V29" s="35"/>
      <c r="W29" s="35"/>
      <c r="X29" s="35"/>
      <c r="Y29" s="35"/>
      <c r="Z29" s="35"/>
      <c r="AA29" s="35"/>
      <c r="AB29" s="35"/>
      <c r="AC29" s="35">
        <f t="shared" si="0"/>
        <v>30569</v>
      </c>
      <c r="AD29" s="35">
        <v>28950</v>
      </c>
      <c r="AE29" s="35">
        <v>750</v>
      </c>
      <c r="AF29" s="35">
        <v>869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>
        <f t="shared" si="1"/>
        <v>30569</v>
      </c>
      <c r="AQ29" s="35">
        <f t="shared" si="2"/>
        <v>91707</v>
      </c>
      <c r="AR29" s="35">
        <v>28950</v>
      </c>
      <c r="AS29" s="35">
        <v>750</v>
      </c>
      <c r="AT29" s="35">
        <v>869</v>
      </c>
      <c r="AU29" s="35"/>
      <c r="AV29" s="35"/>
      <c r="AW29" s="35"/>
      <c r="AX29" s="35"/>
      <c r="AY29" s="35"/>
      <c r="AZ29" s="35"/>
      <c r="BA29" s="35"/>
      <c r="BB29" s="35"/>
      <c r="BC29" s="35"/>
      <c r="BD29" s="35">
        <f t="shared" si="6"/>
        <v>30569</v>
      </c>
      <c r="BE29" s="35">
        <v>28950</v>
      </c>
      <c r="BF29" s="35">
        <v>750</v>
      </c>
      <c r="BG29" s="35">
        <v>869</v>
      </c>
      <c r="BH29" s="35"/>
      <c r="BI29" s="35"/>
      <c r="BJ29" s="35"/>
      <c r="BK29" s="35"/>
      <c r="BL29" s="35"/>
      <c r="BM29" s="35"/>
      <c r="BN29" s="35"/>
      <c r="BO29" s="35"/>
      <c r="BP29" s="35"/>
      <c r="BQ29" s="35">
        <f t="shared" si="7"/>
        <v>30569</v>
      </c>
      <c r="BR29" s="35">
        <v>28950</v>
      </c>
      <c r="BS29" s="35">
        <v>750</v>
      </c>
      <c r="BT29" s="35">
        <v>869</v>
      </c>
      <c r="BU29" s="35"/>
      <c r="BV29" s="35"/>
      <c r="BW29" s="35"/>
      <c r="BX29" s="35"/>
      <c r="BY29" s="35"/>
      <c r="BZ29" s="35"/>
      <c r="CA29" s="35"/>
      <c r="CB29" s="35"/>
      <c r="CC29" s="35"/>
      <c r="CD29" s="35">
        <f t="shared" si="8"/>
        <v>30569</v>
      </c>
      <c r="CE29" s="35">
        <f t="shared" si="9"/>
        <v>91707</v>
      </c>
      <c r="CF29" s="35">
        <f>30400+(1450*6)</f>
        <v>39100</v>
      </c>
      <c r="CG29" s="35">
        <v>750</v>
      </c>
      <c r="CH29" s="35">
        <f>912+(44*6)</f>
        <v>1176</v>
      </c>
      <c r="CI29" s="35"/>
      <c r="CJ29" s="35"/>
      <c r="CK29" s="35"/>
      <c r="CL29" s="35"/>
      <c r="CM29" s="35"/>
      <c r="CN29" s="35"/>
      <c r="CO29" s="35"/>
      <c r="CP29" s="35"/>
      <c r="CQ29" s="35"/>
      <c r="CR29" s="35">
        <f t="shared" si="10"/>
        <v>41026</v>
      </c>
      <c r="CS29" s="35">
        <f>30400+2800*6</f>
        <v>47200</v>
      </c>
      <c r="CT29" s="35">
        <v>750</v>
      </c>
      <c r="CU29" s="35">
        <f>912+84*6</f>
        <v>1416</v>
      </c>
      <c r="CV29" s="35"/>
      <c r="CW29" s="35"/>
      <c r="CX29" s="35"/>
      <c r="CY29" s="35"/>
      <c r="CZ29" s="35"/>
      <c r="DA29" s="35"/>
      <c r="DB29" s="35"/>
      <c r="DC29" s="35"/>
      <c r="DD29" s="35"/>
      <c r="DE29" s="35">
        <f t="shared" si="3"/>
        <v>49366</v>
      </c>
      <c r="DF29" s="35">
        <v>30400</v>
      </c>
      <c r="DG29" s="35">
        <v>750</v>
      </c>
      <c r="DH29" s="35">
        <v>912</v>
      </c>
      <c r="DI29" s="35"/>
      <c r="DJ29" s="35"/>
      <c r="DK29" s="35"/>
      <c r="DL29" s="35"/>
      <c r="DM29" s="35"/>
      <c r="DN29" s="35"/>
      <c r="DO29" s="35"/>
      <c r="DP29" s="35"/>
      <c r="DQ29" s="35"/>
      <c r="DR29" s="35">
        <f t="shared" si="11"/>
        <v>32062</v>
      </c>
      <c r="DS29" s="35">
        <f t="shared" si="12"/>
        <v>122454</v>
      </c>
      <c r="DT29" s="35">
        <v>33200</v>
      </c>
      <c r="DU29" s="35">
        <v>750</v>
      </c>
      <c r="DV29" s="35">
        <v>996</v>
      </c>
      <c r="DW29" s="35"/>
      <c r="DX29" s="35"/>
      <c r="DY29" s="35"/>
      <c r="DZ29" s="35"/>
      <c r="EA29" s="35"/>
      <c r="EB29" s="35"/>
      <c r="EC29" s="35"/>
      <c r="ED29" s="35"/>
      <c r="EE29" s="35"/>
      <c r="EF29" s="35">
        <f t="shared" si="13"/>
        <v>34946</v>
      </c>
      <c r="EG29" s="35">
        <v>33200</v>
      </c>
      <c r="EH29" s="35">
        <v>750</v>
      </c>
      <c r="EI29" s="35">
        <v>996</v>
      </c>
      <c r="EJ29" s="35"/>
      <c r="EK29" s="35"/>
      <c r="EL29" s="35"/>
      <c r="EM29" s="35"/>
      <c r="EN29" s="35"/>
      <c r="EO29" s="35"/>
      <c r="EP29" s="35"/>
      <c r="EQ29" s="35"/>
      <c r="ER29" s="35"/>
      <c r="ES29" s="35">
        <f t="shared" si="4"/>
        <v>34946</v>
      </c>
      <c r="ET29" s="35">
        <v>33200</v>
      </c>
      <c r="EU29" s="35">
        <v>750</v>
      </c>
      <c r="EV29" s="35">
        <v>996</v>
      </c>
      <c r="EW29" s="35"/>
      <c r="EX29" s="35"/>
      <c r="EY29" s="35"/>
      <c r="EZ29" s="35"/>
      <c r="FA29" s="35"/>
      <c r="FB29" s="35"/>
      <c r="FC29" s="35"/>
      <c r="FD29" s="35"/>
      <c r="FE29" s="35"/>
      <c r="FF29" s="35">
        <f t="shared" si="14"/>
        <v>34946</v>
      </c>
      <c r="FG29" s="35">
        <f t="shared" si="15"/>
        <v>104838</v>
      </c>
      <c r="FH29" s="35">
        <f t="shared" si="16"/>
        <v>410706</v>
      </c>
    </row>
    <row r="30" spans="1:164" x14ac:dyDescent="0.35">
      <c r="A30" s="34"/>
      <c r="B30" s="40"/>
      <c r="C30" s="41" t="s">
        <v>137</v>
      </c>
      <c r="D30" s="35">
        <v>28670</v>
      </c>
      <c r="E30" s="35">
        <v>750</v>
      </c>
      <c r="F30" s="35">
        <v>860</v>
      </c>
      <c r="G30" s="35"/>
      <c r="H30" s="35"/>
      <c r="I30" s="35"/>
      <c r="J30" s="35"/>
      <c r="K30" s="35"/>
      <c r="L30" s="35"/>
      <c r="M30" s="35"/>
      <c r="N30" s="35"/>
      <c r="O30" s="35"/>
      <c r="P30" s="35">
        <f t="shared" si="5"/>
        <v>30280</v>
      </c>
      <c r="Q30" s="35">
        <v>28670</v>
      </c>
      <c r="R30" s="35">
        <v>750</v>
      </c>
      <c r="S30" s="35">
        <v>860</v>
      </c>
      <c r="T30" s="35"/>
      <c r="U30" s="35"/>
      <c r="V30" s="35"/>
      <c r="W30" s="35"/>
      <c r="X30" s="35"/>
      <c r="Y30" s="35"/>
      <c r="Z30" s="35"/>
      <c r="AA30" s="35"/>
      <c r="AB30" s="35"/>
      <c r="AC30" s="35">
        <f t="shared" si="0"/>
        <v>30280</v>
      </c>
      <c r="AD30" s="35">
        <v>28670</v>
      </c>
      <c r="AE30" s="35">
        <v>750</v>
      </c>
      <c r="AF30" s="35">
        <v>860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>
        <f t="shared" si="1"/>
        <v>30280</v>
      </c>
      <c r="AQ30" s="35">
        <f t="shared" si="2"/>
        <v>90840</v>
      </c>
      <c r="AR30" s="35">
        <v>28670</v>
      </c>
      <c r="AS30" s="35">
        <v>750</v>
      </c>
      <c r="AT30" s="35">
        <v>860</v>
      </c>
      <c r="AU30" s="35"/>
      <c r="AV30" s="35"/>
      <c r="AW30" s="35"/>
      <c r="AX30" s="35"/>
      <c r="AY30" s="35"/>
      <c r="AZ30" s="35"/>
      <c r="BA30" s="35"/>
      <c r="BB30" s="35"/>
      <c r="BC30" s="35"/>
      <c r="BD30" s="35">
        <f t="shared" si="6"/>
        <v>30280</v>
      </c>
      <c r="BE30" s="35">
        <v>28670</v>
      </c>
      <c r="BF30" s="35">
        <v>750</v>
      </c>
      <c r="BG30" s="35">
        <v>860</v>
      </c>
      <c r="BH30" s="35"/>
      <c r="BI30" s="35"/>
      <c r="BJ30" s="35"/>
      <c r="BK30" s="35"/>
      <c r="BL30" s="35"/>
      <c r="BM30" s="35"/>
      <c r="BN30" s="35"/>
      <c r="BO30" s="35"/>
      <c r="BP30" s="35"/>
      <c r="BQ30" s="35">
        <f t="shared" si="7"/>
        <v>30280</v>
      </c>
      <c r="BR30" s="35">
        <v>28670</v>
      </c>
      <c r="BS30" s="35">
        <v>750</v>
      </c>
      <c r="BT30" s="35">
        <v>860</v>
      </c>
      <c r="BU30" s="35"/>
      <c r="BV30" s="35"/>
      <c r="BW30" s="35"/>
      <c r="BX30" s="35"/>
      <c r="BY30" s="35"/>
      <c r="BZ30" s="35"/>
      <c r="CA30" s="35"/>
      <c r="CB30" s="35"/>
      <c r="CC30" s="35"/>
      <c r="CD30" s="35">
        <f t="shared" si="8"/>
        <v>30280</v>
      </c>
      <c r="CE30" s="35">
        <f t="shared" si="9"/>
        <v>90840</v>
      </c>
      <c r="CF30" s="35">
        <f>30110+(1440*6)</f>
        <v>38750</v>
      </c>
      <c r="CG30" s="35">
        <v>750</v>
      </c>
      <c r="CH30" s="35">
        <f>903+(43*6)</f>
        <v>1161</v>
      </c>
      <c r="CI30" s="35"/>
      <c r="CJ30" s="35"/>
      <c r="CK30" s="35"/>
      <c r="CL30" s="35"/>
      <c r="CM30" s="35"/>
      <c r="CN30" s="35"/>
      <c r="CO30" s="35"/>
      <c r="CP30" s="35"/>
      <c r="CQ30" s="35"/>
      <c r="CR30" s="35">
        <f t="shared" si="10"/>
        <v>40661</v>
      </c>
      <c r="CS30" s="35">
        <f>30110+8340+2310*6</f>
        <v>52310</v>
      </c>
      <c r="CT30" s="35">
        <v>750</v>
      </c>
      <c r="CU30" s="35">
        <f>903+252+69*6</f>
        <v>1569</v>
      </c>
      <c r="CV30" s="35"/>
      <c r="CW30" s="35"/>
      <c r="CX30" s="35"/>
      <c r="CY30" s="35"/>
      <c r="CZ30" s="35"/>
      <c r="DA30" s="35"/>
      <c r="DB30" s="35"/>
      <c r="DC30" s="35"/>
      <c r="DD30" s="35"/>
      <c r="DE30" s="35">
        <f t="shared" si="3"/>
        <v>54629</v>
      </c>
      <c r="DF30" s="35">
        <v>30110</v>
      </c>
      <c r="DG30" s="35">
        <v>750</v>
      </c>
      <c r="DH30" s="35">
        <v>903</v>
      </c>
      <c r="DI30" s="35"/>
      <c r="DJ30" s="35"/>
      <c r="DK30" s="35"/>
      <c r="DL30" s="35"/>
      <c r="DM30" s="35"/>
      <c r="DN30" s="35"/>
      <c r="DO30" s="35"/>
      <c r="DP30" s="35"/>
      <c r="DQ30" s="35"/>
      <c r="DR30" s="35">
        <f t="shared" si="11"/>
        <v>31763</v>
      </c>
      <c r="DS30" s="35">
        <f t="shared" si="12"/>
        <v>127053</v>
      </c>
      <c r="DT30" s="35">
        <v>33810</v>
      </c>
      <c r="DU30" s="35">
        <v>750</v>
      </c>
      <c r="DV30" s="35">
        <v>1014</v>
      </c>
      <c r="DW30" s="35"/>
      <c r="DX30" s="35"/>
      <c r="DY30" s="35"/>
      <c r="DZ30" s="35"/>
      <c r="EA30" s="35"/>
      <c r="EB30" s="35"/>
      <c r="EC30" s="35"/>
      <c r="ED30" s="35"/>
      <c r="EE30" s="35"/>
      <c r="EF30" s="35">
        <f t="shared" si="13"/>
        <v>35574</v>
      </c>
      <c r="EG30" s="35">
        <v>33810</v>
      </c>
      <c r="EH30" s="35">
        <v>750</v>
      </c>
      <c r="EI30" s="35">
        <v>1014</v>
      </c>
      <c r="EJ30" s="35"/>
      <c r="EK30" s="35"/>
      <c r="EL30" s="35"/>
      <c r="EM30" s="35"/>
      <c r="EN30" s="35"/>
      <c r="EO30" s="35"/>
      <c r="EP30" s="35"/>
      <c r="EQ30" s="35"/>
      <c r="ER30" s="35"/>
      <c r="ES30" s="35">
        <f t="shared" si="4"/>
        <v>35574</v>
      </c>
      <c r="ET30" s="35">
        <v>33810</v>
      </c>
      <c r="EU30" s="35">
        <v>750</v>
      </c>
      <c r="EV30" s="35">
        <v>1014</v>
      </c>
      <c r="EW30" s="35"/>
      <c r="EX30" s="35"/>
      <c r="EY30" s="35"/>
      <c r="EZ30" s="35"/>
      <c r="FA30" s="35"/>
      <c r="FB30" s="35"/>
      <c r="FC30" s="35"/>
      <c r="FD30" s="35"/>
      <c r="FE30" s="35"/>
      <c r="FF30" s="35">
        <f t="shared" si="14"/>
        <v>35574</v>
      </c>
      <c r="FG30" s="35">
        <f t="shared" si="15"/>
        <v>106722</v>
      </c>
      <c r="FH30" s="35">
        <f t="shared" si="16"/>
        <v>415455</v>
      </c>
    </row>
    <row r="31" spans="1:164" x14ac:dyDescent="0.35">
      <c r="A31" s="34"/>
      <c r="B31" s="40"/>
      <c r="C31" s="41" t="s">
        <v>138</v>
      </c>
      <c r="D31" s="35">
        <v>28950</v>
      </c>
      <c r="E31" s="35">
        <v>750</v>
      </c>
      <c r="F31" s="35">
        <v>869</v>
      </c>
      <c r="G31" s="35"/>
      <c r="H31" s="35"/>
      <c r="I31" s="35"/>
      <c r="J31" s="35"/>
      <c r="K31" s="35"/>
      <c r="L31" s="35"/>
      <c r="M31" s="35"/>
      <c r="N31" s="35"/>
      <c r="O31" s="35"/>
      <c r="P31" s="35">
        <f t="shared" si="5"/>
        <v>30569</v>
      </c>
      <c r="Q31" s="35">
        <v>28950</v>
      </c>
      <c r="R31" s="35">
        <v>750</v>
      </c>
      <c r="S31" s="35">
        <v>869</v>
      </c>
      <c r="T31" s="35"/>
      <c r="U31" s="35"/>
      <c r="V31" s="35"/>
      <c r="W31" s="35"/>
      <c r="X31" s="35"/>
      <c r="Y31" s="35"/>
      <c r="Z31" s="35"/>
      <c r="AA31" s="35"/>
      <c r="AB31" s="35"/>
      <c r="AC31" s="35">
        <f t="shared" si="0"/>
        <v>30569</v>
      </c>
      <c r="AD31" s="35">
        <v>28950</v>
      </c>
      <c r="AE31" s="35">
        <v>750</v>
      </c>
      <c r="AF31" s="35">
        <v>869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>
        <f t="shared" si="1"/>
        <v>30569</v>
      </c>
      <c r="AQ31" s="35">
        <f t="shared" si="2"/>
        <v>91707</v>
      </c>
      <c r="AR31" s="35">
        <v>28950</v>
      </c>
      <c r="AS31" s="35">
        <v>750</v>
      </c>
      <c r="AT31" s="35">
        <v>869</v>
      </c>
      <c r="AU31" s="35"/>
      <c r="AV31" s="35"/>
      <c r="AW31" s="35"/>
      <c r="AX31" s="35"/>
      <c r="AY31" s="35"/>
      <c r="AZ31" s="35"/>
      <c r="BA31" s="35"/>
      <c r="BB31" s="35"/>
      <c r="BC31" s="35"/>
      <c r="BD31" s="35">
        <f t="shared" si="6"/>
        <v>30569</v>
      </c>
      <c r="BE31" s="35">
        <v>28950</v>
      </c>
      <c r="BF31" s="35">
        <v>750</v>
      </c>
      <c r="BG31" s="35">
        <v>869</v>
      </c>
      <c r="BH31" s="35"/>
      <c r="BI31" s="35"/>
      <c r="BJ31" s="35"/>
      <c r="BK31" s="35"/>
      <c r="BL31" s="35"/>
      <c r="BM31" s="35"/>
      <c r="BN31" s="35"/>
      <c r="BO31" s="35"/>
      <c r="BP31" s="35"/>
      <c r="BQ31" s="35">
        <f t="shared" si="7"/>
        <v>30569</v>
      </c>
      <c r="BR31" s="35">
        <v>28950</v>
      </c>
      <c r="BS31" s="35">
        <v>750</v>
      </c>
      <c r="BT31" s="35">
        <v>869</v>
      </c>
      <c r="BU31" s="35"/>
      <c r="BV31" s="35"/>
      <c r="BW31" s="35"/>
      <c r="BX31" s="35"/>
      <c r="BY31" s="35"/>
      <c r="BZ31" s="35"/>
      <c r="CA31" s="35"/>
      <c r="CB31" s="35"/>
      <c r="CC31" s="35"/>
      <c r="CD31" s="35">
        <f t="shared" si="8"/>
        <v>30569</v>
      </c>
      <c r="CE31" s="35">
        <f t="shared" si="9"/>
        <v>91707</v>
      </c>
      <c r="CF31" s="35">
        <f>30400+(1450*6)</f>
        <v>39100</v>
      </c>
      <c r="CG31" s="35">
        <v>750</v>
      </c>
      <c r="CH31" s="35">
        <f>912+(44*6)</f>
        <v>1176</v>
      </c>
      <c r="CI31" s="35"/>
      <c r="CJ31" s="35"/>
      <c r="CK31" s="35"/>
      <c r="CL31" s="35"/>
      <c r="CM31" s="35"/>
      <c r="CN31" s="35"/>
      <c r="CO31" s="35"/>
      <c r="CP31" s="35"/>
      <c r="CQ31" s="35"/>
      <c r="CR31" s="35">
        <f t="shared" si="10"/>
        <v>41026</v>
      </c>
      <c r="CS31" s="35">
        <f>30400+2800*6</f>
        <v>47200</v>
      </c>
      <c r="CT31" s="35">
        <v>750</v>
      </c>
      <c r="CU31" s="35">
        <f>912+84*6</f>
        <v>1416</v>
      </c>
      <c r="CV31" s="35"/>
      <c r="CW31" s="35"/>
      <c r="CX31" s="35"/>
      <c r="CY31" s="35"/>
      <c r="CZ31" s="35"/>
      <c r="DA31" s="35"/>
      <c r="DB31" s="35"/>
      <c r="DC31" s="35"/>
      <c r="DD31" s="35"/>
      <c r="DE31" s="35">
        <f t="shared" si="3"/>
        <v>49366</v>
      </c>
      <c r="DF31" s="35">
        <v>30400</v>
      </c>
      <c r="DG31" s="35">
        <v>750</v>
      </c>
      <c r="DH31" s="35">
        <v>912</v>
      </c>
      <c r="DI31" s="35"/>
      <c r="DJ31" s="35"/>
      <c r="DK31" s="35"/>
      <c r="DL31" s="35"/>
      <c r="DM31" s="35"/>
      <c r="DN31" s="35"/>
      <c r="DO31" s="35"/>
      <c r="DP31" s="35"/>
      <c r="DQ31" s="35"/>
      <c r="DR31" s="35">
        <f t="shared" si="11"/>
        <v>32062</v>
      </c>
      <c r="DS31" s="35">
        <f t="shared" si="12"/>
        <v>122454</v>
      </c>
      <c r="DT31" s="35">
        <v>33200</v>
      </c>
      <c r="DU31" s="35">
        <v>750</v>
      </c>
      <c r="DV31" s="35">
        <v>996</v>
      </c>
      <c r="DW31" s="35"/>
      <c r="DX31" s="35"/>
      <c r="DY31" s="35"/>
      <c r="DZ31" s="35"/>
      <c r="EA31" s="35"/>
      <c r="EB31" s="35"/>
      <c r="EC31" s="35"/>
      <c r="ED31" s="35"/>
      <c r="EE31" s="35"/>
      <c r="EF31" s="35">
        <f t="shared" si="13"/>
        <v>34946</v>
      </c>
      <c r="EG31" s="35">
        <v>33200</v>
      </c>
      <c r="EH31" s="35">
        <v>750</v>
      </c>
      <c r="EI31" s="35">
        <v>996</v>
      </c>
      <c r="EJ31" s="35"/>
      <c r="EK31" s="35"/>
      <c r="EL31" s="35"/>
      <c r="EM31" s="35"/>
      <c r="EN31" s="35"/>
      <c r="EO31" s="35"/>
      <c r="EP31" s="35"/>
      <c r="EQ31" s="35"/>
      <c r="ER31" s="35"/>
      <c r="ES31" s="35">
        <f t="shared" si="4"/>
        <v>34946</v>
      </c>
      <c r="ET31" s="35">
        <v>33200</v>
      </c>
      <c r="EU31" s="35">
        <v>750</v>
      </c>
      <c r="EV31" s="35">
        <v>996</v>
      </c>
      <c r="EW31" s="35"/>
      <c r="EX31" s="35"/>
      <c r="EY31" s="35"/>
      <c r="EZ31" s="35"/>
      <c r="FA31" s="35"/>
      <c r="FB31" s="35"/>
      <c r="FC31" s="35"/>
      <c r="FD31" s="35"/>
      <c r="FE31" s="35"/>
      <c r="FF31" s="35">
        <f t="shared" si="14"/>
        <v>34946</v>
      </c>
      <c r="FG31" s="35">
        <f t="shared" si="15"/>
        <v>104838</v>
      </c>
      <c r="FH31" s="35">
        <f t="shared" si="16"/>
        <v>410706</v>
      </c>
    </row>
    <row r="32" spans="1:164" x14ac:dyDescent="0.35">
      <c r="A32" s="34"/>
      <c r="B32" s="40"/>
      <c r="C32" s="41" t="s">
        <v>139</v>
      </c>
      <c r="D32" s="35">
        <v>28950</v>
      </c>
      <c r="E32" s="35">
        <v>750</v>
      </c>
      <c r="F32" s="35">
        <v>869</v>
      </c>
      <c r="G32" s="35"/>
      <c r="H32" s="35"/>
      <c r="I32" s="35"/>
      <c r="J32" s="35"/>
      <c r="K32" s="35"/>
      <c r="L32" s="35"/>
      <c r="M32" s="35"/>
      <c r="N32" s="35"/>
      <c r="O32" s="35"/>
      <c r="P32" s="35">
        <f t="shared" si="5"/>
        <v>30569</v>
      </c>
      <c r="Q32" s="35">
        <v>28950</v>
      </c>
      <c r="R32" s="35">
        <v>750</v>
      </c>
      <c r="S32" s="35">
        <v>869</v>
      </c>
      <c r="T32" s="35"/>
      <c r="U32" s="35"/>
      <c r="V32" s="35"/>
      <c r="W32" s="35"/>
      <c r="X32" s="35"/>
      <c r="Y32" s="35"/>
      <c r="Z32" s="35"/>
      <c r="AA32" s="35"/>
      <c r="AB32" s="35"/>
      <c r="AC32" s="35">
        <f t="shared" si="0"/>
        <v>30569</v>
      </c>
      <c r="AD32" s="35">
        <v>28950</v>
      </c>
      <c r="AE32" s="35">
        <v>750</v>
      </c>
      <c r="AF32" s="35">
        <v>869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>
        <f t="shared" si="1"/>
        <v>30569</v>
      </c>
      <c r="AQ32" s="35">
        <f t="shared" si="2"/>
        <v>91707</v>
      </c>
      <c r="AR32" s="35">
        <v>28950</v>
      </c>
      <c r="AS32" s="35">
        <v>750</v>
      </c>
      <c r="AT32" s="35">
        <v>869</v>
      </c>
      <c r="AU32" s="35"/>
      <c r="AV32" s="35"/>
      <c r="AW32" s="35"/>
      <c r="AX32" s="35"/>
      <c r="AY32" s="35"/>
      <c r="AZ32" s="35"/>
      <c r="BA32" s="35"/>
      <c r="BB32" s="35"/>
      <c r="BC32" s="35"/>
      <c r="BD32" s="35">
        <f t="shared" si="6"/>
        <v>30569</v>
      </c>
      <c r="BE32" s="35">
        <v>28950</v>
      </c>
      <c r="BF32" s="35">
        <v>750</v>
      </c>
      <c r="BG32" s="35">
        <v>869</v>
      </c>
      <c r="BH32" s="35"/>
      <c r="BI32" s="35"/>
      <c r="BJ32" s="35"/>
      <c r="BK32" s="35"/>
      <c r="BL32" s="35"/>
      <c r="BM32" s="35"/>
      <c r="BN32" s="35"/>
      <c r="BO32" s="35"/>
      <c r="BP32" s="35"/>
      <c r="BQ32" s="35">
        <f t="shared" si="7"/>
        <v>30569</v>
      </c>
      <c r="BR32" s="35">
        <v>28950</v>
      </c>
      <c r="BS32" s="35">
        <v>750</v>
      </c>
      <c r="BT32" s="35">
        <v>869</v>
      </c>
      <c r="BU32" s="35"/>
      <c r="BV32" s="35"/>
      <c r="BW32" s="35"/>
      <c r="BX32" s="35"/>
      <c r="BY32" s="35"/>
      <c r="BZ32" s="35"/>
      <c r="CA32" s="35"/>
      <c r="CB32" s="35"/>
      <c r="CC32" s="35"/>
      <c r="CD32" s="35">
        <f t="shared" si="8"/>
        <v>30569</v>
      </c>
      <c r="CE32" s="35">
        <f t="shared" si="9"/>
        <v>91707</v>
      </c>
      <c r="CF32" s="35">
        <f>30400+(1450*6)</f>
        <v>39100</v>
      </c>
      <c r="CG32" s="35">
        <v>750</v>
      </c>
      <c r="CH32" s="35">
        <f>912+(44*6)</f>
        <v>1176</v>
      </c>
      <c r="CI32" s="35"/>
      <c r="CJ32" s="35"/>
      <c r="CK32" s="35"/>
      <c r="CL32" s="35"/>
      <c r="CM32" s="35"/>
      <c r="CN32" s="35"/>
      <c r="CO32" s="35"/>
      <c r="CP32" s="35"/>
      <c r="CQ32" s="35"/>
      <c r="CR32" s="35">
        <f t="shared" si="10"/>
        <v>41026</v>
      </c>
      <c r="CS32" s="35">
        <f>30400+2800*6</f>
        <v>47200</v>
      </c>
      <c r="CT32" s="35">
        <v>750</v>
      </c>
      <c r="CU32" s="35">
        <f>912+84*6</f>
        <v>1416</v>
      </c>
      <c r="CV32" s="35"/>
      <c r="CW32" s="35"/>
      <c r="CX32" s="35"/>
      <c r="CY32" s="35"/>
      <c r="CZ32" s="35"/>
      <c r="DA32" s="35"/>
      <c r="DB32" s="35"/>
      <c r="DC32" s="35"/>
      <c r="DD32" s="35"/>
      <c r="DE32" s="35">
        <f t="shared" si="3"/>
        <v>49366</v>
      </c>
      <c r="DF32" s="35">
        <v>30400</v>
      </c>
      <c r="DG32" s="35">
        <v>750</v>
      </c>
      <c r="DH32" s="35">
        <v>912</v>
      </c>
      <c r="DI32" s="35"/>
      <c r="DJ32" s="35"/>
      <c r="DK32" s="35"/>
      <c r="DL32" s="35"/>
      <c r="DM32" s="35"/>
      <c r="DN32" s="35"/>
      <c r="DO32" s="35"/>
      <c r="DP32" s="35"/>
      <c r="DQ32" s="35"/>
      <c r="DR32" s="35">
        <f t="shared" si="11"/>
        <v>32062</v>
      </c>
      <c r="DS32" s="35">
        <f t="shared" si="12"/>
        <v>122454</v>
      </c>
      <c r="DT32" s="35">
        <v>33200</v>
      </c>
      <c r="DU32" s="35">
        <v>750</v>
      </c>
      <c r="DV32" s="35">
        <v>996</v>
      </c>
      <c r="DW32" s="35"/>
      <c r="DX32" s="35"/>
      <c r="DY32" s="35"/>
      <c r="DZ32" s="35"/>
      <c r="EA32" s="35"/>
      <c r="EB32" s="35"/>
      <c r="EC32" s="35"/>
      <c r="ED32" s="35"/>
      <c r="EE32" s="35"/>
      <c r="EF32" s="35">
        <f t="shared" si="13"/>
        <v>34946</v>
      </c>
      <c r="EG32" s="35">
        <v>33200</v>
      </c>
      <c r="EH32" s="35">
        <v>750</v>
      </c>
      <c r="EI32" s="35">
        <v>996</v>
      </c>
      <c r="EJ32" s="35"/>
      <c r="EK32" s="35"/>
      <c r="EL32" s="35"/>
      <c r="EM32" s="35"/>
      <c r="EN32" s="35"/>
      <c r="EO32" s="35"/>
      <c r="EP32" s="35"/>
      <c r="EQ32" s="35"/>
      <c r="ER32" s="35"/>
      <c r="ES32" s="35">
        <f t="shared" si="4"/>
        <v>34946</v>
      </c>
      <c r="ET32" s="35">
        <v>33200</v>
      </c>
      <c r="EU32" s="35">
        <v>750</v>
      </c>
      <c r="EV32" s="35">
        <v>996</v>
      </c>
      <c r="EW32" s="35"/>
      <c r="EX32" s="35"/>
      <c r="EY32" s="35"/>
      <c r="EZ32" s="35"/>
      <c r="FA32" s="35"/>
      <c r="FB32" s="35"/>
      <c r="FC32" s="35"/>
      <c r="FD32" s="35"/>
      <c r="FE32" s="35"/>
      <c r="FF32" s="35">
        <f t="shared" si="14"/>
        <v>34946</v>
      </c>
      <c r="FG32" s="35">
        <f t="shared" si="15"/>
        <v>104838</v>
      </c>
      <c r="FH32" s="35">
        <f t="shared" si="16"/>
        <v>410706</v>
      </c>
    </row>
    <row r="33" spans="1:164" x14ac:dyDescent="0.35">
      <c r="A33" s="34"/>
      <c r="B33" s="40"/>
      <c r="C33" s="41" t="s">
        <v>140</v>
      </c>
      <c r="D33" s="35">
        <v>28950</v>
      </c>
      <c r="E33" s="35">
        <v>750</v>
      </c>
      <c r="F33" s="35">
        <v>869</v>
      </c>
      <c r="G33" s="35"/>
      <c r="H33" s="35"/>
      <c r="I33" s="35"/>
      <c r="J33" s="35"/>
      <c r="K33" s="35"/>
      <c r="L33" s="35"/>
      <c r="M33" s="35"/>
      <c r="N33" s="35"/>
      <c r="O33" s="35"/>
      <c r="P33" s="35">
        <f t="shared" si="5"/>
        <v>30569</v>
      </c>
      <c r="Q33" s="35">
        <v>28950</v>
      </c>
      <c r="R33" s="35">
        <v>750</v>
      </c>
      <c r="S33" s="35">
        <v>869</v>
      </c>
      <c r="T33" s="35"/>
      <c r="U33" s="35"/>
      <c r="V33" s="35"/>
      <c r="W33" s="35"/>
      <c r="X33" s="35"/>
      <c r="Y33" s="35"/>
      <c r="Z33" s="35"/>
      <c r="AA33" s="35"/>
      <c r="AB33" s="35"/>
      <c r="AC33" s="35">
        <f t="shared" si="0"/>
        <v>30569</v>
      </c>
      <c r="AD33" s="35">
        <v>28950</v>
      </c>
      <c r="AE33" s="35">
        <v>750</v>
      </c>
      <c r="AF33" s="35">
        <v>869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>
        <f t="shared" si="1"/>
        <v>30569</v>
      </c>
      <c r="AQ33" s="35">
        <f t="shared" si="2"/>
        <v>91707</v>
      </c>
      <c r="AR33" s="35">
        <v>28950</v>
      </c>
      <c r="AS33" s="35">
        <v>750</v>
      </c>
      <c r="AT33" s="35">
        <v>869</v>
      </c>
      <c r="AU33" s="35"/>
      <c r="AV33" s="35"/>
      <c r="AW33" s="35"/>
      <c r="AX33" s="35"/>
      <c r="AY33" s="35"/>
      <c r="AZ33" s="35"/>
      <c r="BA33" s="35"/>
      <c r="BB33" s="35"/>
      <c r="BC33" s="35"/>
      <c r="BD33" s="35">
        <f t="shared" si="6"/>
        <v>30569</v>
      </c>
      <c r="BE33" s="35">
        <v>28950</v>
      </c>
      <c r="BF33" s="35">
        <v>750</v>
      </c>
      <c r="BG33" s="35">
        <v>869</v>
      </c>
      <c r="BH33" s="35"/>
      <c r="BI33" s="35"/>
      <c r="BJ33" s="35"/>
      <c r="BK33" s="35"/>
      <c r="BL33" s="35"/>
      <c r="BM33" s="35"/>
      <c r="BN33" s="35"/>
      <c r="BO33" s="35"/>
      <c r="BP33" s="35"/>
      <c r="BQ33" s="35">
        <f t="shared" si="7"/>
        <v>30569</v>
      </c>
      <c r="BR33" s="35">
        <v>28950</v>
      </c>
      <c r="BS33" s="35">
        <v>750</v>
      </c>
      <c r="BT33" s="35">
        <v>869</v>
      </c>
      <c r="BU33" s="35"/>
      <c r="BV33" s="35"/>
      <c r="BW33" s="35"/>
      <c r="BX33" s="35"/>
      <c r="BY33" s="35"/>
      <c r="BZ33" s="35"/>
      <c r="CA33" s="35"/>
      <c r="CB33" s="35"/>
      <c r="CC33" s="35"/>
      <c r="CD33" s="35">
        <f t="shared" si="8"/>
        <v>30569</v>
      </c>
      <c r="CE33" s="35">
        <f t="shared" si="9"/>
        <v>91707</v>
      </c>
      <c r="CF33" s="35">
        <f>30400+(1450*6)</f>
        <v>39100</v>
      </c>
      <c r="CG33" s="35">
        <v>750</v>
      </c>
      <c r="CH33" s="35">
        <f>912+(44*6)</f>
        <v>1176</v>
      </c>
      <c r="CI33" s="35"/>
      <c r="CJ33" s="35"/>
      <c r="CK33" s="35"/>
      <c r="CL33" s="35"/>
      <c r="CM33" s="35"/>
      <c r="CN33" s="35"/>
      <c r="CO33" s="35"/>
      <c r="CP33" s="35"/>
      <c r="CQ33" s="35"/>
      <c r="CR33" s="35">
        <f t="shared" si="10"/>
        <v>41026</v>
      </c>
      <c r="CS33" s="35">
        <f>30400+2800*6</f>
        <v>47200</v>
      </c>
      <c r="CT33" s="35">
        <v>750</v>
      </c>
      <c r="CU33" s="35">
        <f>912+84*6</f>
        <v>1416</v>
      </c>
      <c r="CV33" s="35"/>
      <c r="CW33" s="35"/>
      <c r="CX33" s="35"/>
      <c r="CY33" s="35"/>
      <c r="CZ33" s="35"/>
      <c r="DA33" s="35"/>
      <c r="DB33" s="35"/>
      <c r="DC33" s="35"/>
      <c r="DD33" s="35"/>
      <c r="DE33" s="35">
        <f t="shared" si="3"/>
        <v>49366</v>
      </c>
      <c r="DF33" s="35">
        <v>30400</v>
      </c>
      <c r="DG33" s="35">
        <v>750</v>
      </c>
      <c r="DH33" s="35">
        <v>912</v>
      </c>
      <c r="DI33" s="35"/>
      <c r="DJ33" s="35"/>
      <c r="DK33" s="35"/>
      <c r="DL33" s="35"/>
      <c r="DM33" s="35"/>
      <c r="DN33" s="35"/>
      <c r="DO33" s="35"/>
      <c r="DP33" s="35"/>
      <c r="DQ33" s="35"/>
      <c r="DR33" s="35">
        <f t="shared" si="11"/>
        <v>32062</v>
      </c>
      <c r="DS33" s="35">
        <f t="shared" si="12"/>
        <v>122454</v>
      </c>
      <c r="DT33" s="35">
        <v>33200</v>
      </c>
      <c r="DU33" s="35">
        <v>750</v>
      </c>
      <c r="DV33" s="35">
        <v>996</v>
      </c>
      <c r="DW33" s="35"/>
      <c r="DX33" s="35"/>
      <c r="DY33" s="35"/>
      <c r="DZ33" s="35"/>
      <c r="EA33" s="35"/>
      <c r="EB33" s="35"/>
      <c r="EC33" s="35"/>
      <c r="ED33" s="35"/>
      <c r="EE33" s="35"/>
      <c r="EF33" s="35">
        <f t="shared" si="13"/>
        <v>34946</v>
      </c>
      <c r="EG33" s="35">
        <v>33200</v>
      </c>
      <c r="EH33" s="35">
        <v>750</v>
      </c>
      <c r="EI33" s="35">
        <v>996</v>
      </c>
      <c r="EJ33" s="35"/>
      <c r="EK33" s="35"/>
      <c r="EL33" s="35"/>
      <c r="EM33" s="35"/>
      <c r="EN33" s="35"/>
      <c r="EO33" s="35"/>
      <c r="EP33" s="35"/>
      <c r="EQ33" s="35"/>
      <c r="ER33" s="35"/>
      <c r="ES33" s="35">
        <f t="shared" si="4"/>
        <v>34946</v>
      </c>
      <c r="ET33" s="35">
        <v>33200</v>
      </c>
      <c r="EU33" s="35">
        <v>750</v>
      </c>
      <c r="EV33" s="35">
        <v>996</v>
      </c>
      <c r="EW33" s="35"/>
      <c r="EX33" s="35"/>
      <c r="EY33" s="35"/>
      <c r="EZ33" s="35"/>
      <c r="FA33" s="35"/>
      <c r="FB33" s="35"/>
      <c r="FC33" s="35"/>
      <c r="FD33" s="35"/>
      <c r="FE33" s="35"/>
      <c r="FF33" s="35">
        <f t="shared" si="14"/>
        <v>34946</v>
      </c>
      <c r="FG33" s="35">
        <f t="shared" si="15"/>
        <v>104838</v>
      </c>
      <c r="FH33" s="35">
        <f t="shared" si="16"/>
        <v>410706</v>
      </c>
    </row>
    <row r="34" spans="1:164" x14ac:dyDescent="0.35">
      <c r="A34" s="34"/>
      <c r="B34" s="40"/>
      <c r="C34" s="41" t="s">
        <v>141</v>
      </c>
      <c r="D34" s="35">
        <v>28950</v>
      </c>
      <c r="E34" s="35">
        <v>750</v>
      </c>
      <c r="F34" s="35">
        <v>869</v>
      </c>
      <c r="G34" s="35"/>
      <c r="H34" s="35"/>
      <c r="I34" s="35"/>
      <c r="J34" s="35"/>
      <c r="K34" s="35"/>
      <c r="L34" s="35"/>
      <c r="M34" s="35"/>
      <c r="N34" s="35"/>
      <c r="O34" s="35"/>
      <c r="P34" s="35">
        <f t="shared" si="5"/>
        <v>30569</v>
      </c>
      <c r="Q34" s="35">
        <v>28950</v>
      </c>
      <c r="R34" s="35">
        <v>750</v>
      </c>
      <c r="S34" s="35">
        <v>869</v>
      </c>
      <c r="T34" s="35"/>
      <c r="U34" s="35"/>
      <c r="V34" s="35"/>
      <c r="W34" s="35"/>
      <c r="X34" s="35"/>
      <c r="Y34" s="35"/>
      <c r="Z34" s="35"/>
      <c r="AA34" s="35"/>
      <c r="AB34" s="35"/>
      <c r="AC34" s="35">
        <f t="shared" si="0"/>
        <v>30569</v>
      </c>
      <c r="AD34" s="35">
        <v>28950</v>
      </c>
      <c r="AE34" s="35">
        <v>750</v>
      </c>
      <c r="AF34" s="35">
        <v>869</v>
      </c>
      <c r="AG34" s="35"/>
      <c r="AH34" s="35"/>
      <c r="AI34" s="35"/>
      <c r="AJ34" s="35"/>
      <c r="AK34" s="35"/>
      <c r="AL34" s="35"/>
      <c r="AM34" s="35"/>
      <c r="AN34" s="35"/>
      <c r="AO34" s="35"/>
      <c r="AP34" s="35">
        <f t="shared" si="1"/>
        <v>30569</v>
      </c>
      <c r="AQ34" s="35">
        <f t="shared" si="2"/>
        <v>91707</v>
      </c>
      <c r="AR34" s="35">
        <v>28950</v>
      </c>
      <c r="AS34" s="35">
        <v>750</v>
      </c>
      <c r="AT34" s="35">
        <v>869</v>
      </c>
      <c r="AU34" s="35"/>
      <c r="AV34" s="35"/>
      <c r="AW34" s="35"/>
      <c r="AX34" s="35"/>
      <c r="AY34" s="35"/>
      <c r="AZ34" s="35"/>
      <c r="BA34" s="35"/>
      <c r="BB34" s="35"/>
      <c r="BC34" s="35"/>
      <c r="BD34" s="35">
        <f t="shared" si="6"/>
        <v>30569</v>
      </c>
      <c r="BE34" s="35">
        <v>28950</v>
      </c>
      <c r="BF34" s="35">
        <v>750</v>
      </c>
      <c r="BG34" s="35">
        <v>869</v>
      </c>
      <c r="BH34" s="35"/>
      <c r="BI34" s="35"/>
      <c r="BJ34" s="35"/>
      <c r="BK34" s="35"/>
      <c r="BL34" s="35"/>
      <c r="BM34" s="35"/>
      <c r="BN34" s="35"/>
      <c r="BO34" s="35"/>
      <c r="BP34" s="35"/>
      <c r="BQ34" s="35">
        <f t="shared" si="7"/>
        <v>30569</v>
      </c>
      <c r="BR34" s="35">
        <v>28950</v>
      </c>
      <c r="BS34" s="35">
        <v>750</v>
      </c>
      <c r="BT34" s="35">
        <v>869</v>
      </c>
      <c r="BU34" s="35"/>
      <c r="BV34" s="35"/>
      <c r="BW34" s="35"/>
      <c r="BX34" s="35"/>
      <c r="BY34" s="35"/>
      <c r="BZ34" s="35"/>
      <c r="CA34" s="35"/>
      <c r="CB34" s="35"/>
      <c r="CC34" s="35"/>
      <c r="CD34" s="35">
        <f t="shared" si="8"/>
        <v>30569</v>
      </c>
      <c r="CE34" s="35">
        <f t="shared" si="9"/>
        <v>91707</v>
      </c>
      <c r="CF34" s="35">
        <f>30400+(1450*6)</f>
        <v>39100</v>
      </c>
      <c r="CG34" s="35">
        <v>750</v>
      </c>
      <c r="CH34" s="35">
        <f>912+(44*6)</f>
        <v>1176</v>
      </c>
      <c r="CI34" s="35"/>
      <c r="CJ34" s="35"/>
      <c r="CK34" s="35"/>
      <c r="CL34" s="35"/>
      <c r="CM34" s="35"/>
      <c r="CN34" s="35"/>
      <c r="CO34" s="35"/>
      <c r="CP34" s="35"/>
      <c r="CQ34" s="35"/>
      <c r="CR34" s="35">
        <f t="shared" si="10"/>
        <v>41026</v>
      </c>
      <c r="CS34" s="35">
        <f>30400+2800*6</f>
        <v>47200</v>
      </c>
      <c r="CT34" s="35">
        <v>750</v>
      </c>
      <c r="CU34" s="35">
        <f>912+84*6</f>
        <v>1416</v>
      </c>
      <c r="CV34" s="35"/>
      <c r="CW34" s="35"/>
      <c r="CX34" s="35"/>
      <c r="CY34" s="35"/>
      <c r="CZ34" s="35"/>
      <c r="DA34" s="35"/>
      <c r="DB34" s="35"/>
      <c r="DC34" s="35"/>
      <c r="DD34" s="35"/>
      <c r="DE34" s="35">
        <f t="shared" si="3"/>
        <v>49366</v>
      </c>
      <c r="DF34" s="35">
        <v>30400</v>
      </c>
      <c r="DG34" s="35">
        <v>750</v>
      </c>
      <c r="DH34" s="35">
        <v>912</v>
      </c>
      <c r="DI34" s="35"/>
      <c r="DJ34" s="35"/>
      <c r="DK34" s="35"/>
      <c r="DL34" s="35"/>
      <c r="DM34" s="35"/>
      <c r="DN34" s="35"/>
      <c r="DO34" s="35"/>
      <c r="DP34" s="35"/>
      <c r="DQ34" s="35"/>
      <c r="DR34" s="35">
        <f t="shared" si="11"/>
        <v>32062</v>
      </c>
      <c r="DS34" s="35">
        <f t="shared" si="12"/>
        <v>122454</v>
      </c>
      <c r="DT34" s="35">
        <v>33200</v>
      </c>
      <c r="DU34" s="35">
        <v>750</v>
      </c>
      <c r="DV34" s="35">
        <v>996</v>
      </c>
      <c r="DW34" s="35"/>
      <c r="DX34" s="35"/>
      <c r="DY34" s="35"/>
      <c r="DZ34" s="35"/>
      <c r="EA34" s="35"/>
      <c r="EB34" s="35"/>
      <c r="EC34" s="35"/>
      <c r="ED34" s="35"/>
      <c r="EE34" s="35"/>
      <c r="EF34" s="35">
        <f t="shared" si="13"/>
        <v>34946</v>
      </c>
      <c r="EG34" s="35">
        <v>33200</v>
      </c>
      <c r="EH34" s="35">
        <v>750</v>
      </c>
      <c r="EI34" s="35">
        <v>996</v>
      </c>
      <c r="EJ34" s="35"/>
      <c r="EK34" s="35"/>
      <c r="EL34" s="35"/>
      <c r="EM34" s="35"/>
      <c r="EN34" s="35"/>
      <c r="EO34" s="35"/>
      <c r="EP34" s="35"/>
      <c r="EQ34" s="35"/>
      <c r="ER34" s="35"/>
      <c r="ES34" s="35">
        <f t="shared" si="4"/>
        <v>34946</v>
      </c>
      <c r="ET34" s="35">
        <v>33200</v>
      </c>
      <c r="EU34" s="35">
        <v>750</v>
      </c>
      <c r="EV34" s="35">
        <v>996</v>
      </c>
      <c r="EW34" s="35"/>
      <c r="EX34" s="35"/>
      <c r="EY34" s="35"/>
      <c r="EZ34" s="35"/>
      <c r="FA34" s="35"/>
      <c r="FB34" s="35"/>
      <c r="FC34" s="35"/>
      <c r="FD34" s="35"/>
      <c r="FE34" s="35"/>
      <c r="FF34" s="35">
        <f t="shared" si="14"/>
        <v>34946</v>
      </c>
      <c r="FG34" s="35">
        <f t="shared" si="15"/>
        <v>104838</v>
      </c>
      <c r="FH34" s="35">
        <f t="shared" si="16"/>
        <v>410706</v>
      </c>
    </row>
    <row r="35" spans="1:164" x14ac:dyDescent="0.35">
      <c r="A35" s="34"/>
      <c r="B35" s="40"/>
      <c r="C35" s="41" t="s">
        <v>229</v>
      </c>
      <c r="D35" s="35">
        <v>24000</v>
      </c>
      <c r="E35" s="35">
        <v>750</v>
      </c>
      <c r="F35" s="35">
        <v>720</v>
      </c>
      <c r="G35" s="35"/>
      <c r="H35" s="35"/>
      <c r="I35" s="35"/>
      <c r="J35" s="35"/>
      <c r="K35" s="35"/>
      <c r="L35" s="35"/>
      <c r="M35" s="35"/>
      <c r="N35" s="35"/>
      <c r="O35" s="35"/>
      <c r="P35" s="35">
        <f t="shared" si="5"/>
        <v>25470</v>
      </c>
      <c r="Q35" s="35">
        <v>24000</v>
      </c>
      <c r="R35" s="35">
        <v>750</v>
      </c>
      <c r="S35" s="35">
        <v>720</v>
      </c>
      <c r="T35" s="35"/>
      <c r="U35" s="35"/>
      <c r="V35" s="35"/>
      <c r="W35" s="35"/>
      <c r="X35" s="35"/>
      <c r="Y35" s="35"/>
      <c r="Z35" s="35"/>
      <c r="AA35" s="35"/>
      <c r="AB35" s="35"/>
      <c r="AC35" s="35">
        <f t="shared" si="0"/>
        <v>25470</v>
      </c>
      <c r="AD35" s="35">
        <v>24000</v>
      </c>
      <c r="AE35" s="35">
        <v>750</v>
      </c>
      <c r="AF35" s="35">
        <v>720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>
        <f t="shared" si="1"/>
        <v>25470</v>
      </c>
      <c r="AQ35" s="35">
        <f t="shared" si="2"/>
        <v>76410</v>
      </c>
      <c r="AR35" s="35">
        <v>24000</v>
      </c>
      <c r="AS35" s="35">
        <v>750</v>
      </c>
      <c r="AT35" s="35">
        <v>720</v>
      </c>
      <c r="AU35" s="35"/>
      <c r="AV35" s="35"/>
      <c r="AW35" s="35"/>
      <c r="AX35" s="35"/>
      <c r="AY35" s="35"/>
      <c r="AZ35" s="35"/>
      <c r="BA35" s="35"/>
      <c r="BB35" s="35"/>
      <c r="BC35" s="35"/>
      <c r="BD35" s="35">
        <f t="shared" si="6"/>
        <v>25470</v>
      </c>
      <c r="BE35" s="35">
        <v>24000</v>
      </c>
      <c r="BF35" s="35">
        <v>750</v>
      </c>
      <c r="BG35" s="35">
        <v>720</v>
      </c>
      <c r="BH35" s="35"/>
      <c r="BI35" s="35"/>
      <c r="BJ35" s="35"/>
      <c r="BK35" s="35"/>
      <c r="BL35" s="35"/>
      <c r="BM35" s="35"/>
      <c r="BN35" s="35"/>
      <c r="BO35" s="35"/>
      <c r="BP35" s="35"/>
      <c r="BQ35" s="35">
        <f t="shared" si="7"/>
        <v>25470</v>
      </c>
      <c r="BR35" s="35">
        <v>24000</v>
      </c>
      <c r="BS35" s="35">
        <v>750</v>
      </c>
      <c r="BT35" s="35">
        <v>720</v>
      </c>
      <c r="BU35" s="35"/>
      <c r="BV35" s="35"/>
      <c r="BW35" s="35"/>
      <c r="BX35" s="35"/>
      <c r="BY35" s="35"/>
      <c r="BZ35" s="35"/>
      <c r="CA35" s="35"/>
      <c r="CB35" s="35"/>
      <c r="CC35" s="35"/>
      <c r="CD35" s="35">
        <f t="shared" si="8"/>
        <v>25470</v>
      </c>
      <c r="CE35" s="35">
        <f t="shared" si="9"/>
        <v>76410</v>
      </c>
      <c r="CF35" s="35">
        <f>25200+(1200*6)</f>
        <v>32400</v>
      </c>
      <c r="CG35" s="35">
        <v>750</v>
      </c>
      <c r="CH35" s="35">
        <f>756+(36*6)</f>
        <v>972</v>
      </c>
      <c r="CI35" s="35"/>
      <c r="CJ35" s="35"/>
      <c r="CK35" s="35"/>
      <c r="CL35" s="35"/>
      <c r="CM35" s="35"/>
      <c r="CN35" s="35"/>
      <c r="CO35" s="35"/>
      <c r="CP35" s="35"/>
      <c r="CQ35" s="35"/>
      <c r="CR35" s="35">
        <f t="shared" si="10"/>
        <v>34122</v>
      </c>
      <c r="CS35" s="35">
        <f>25200+6300+2800*6</f>
        <v>48300</v>
      </c>
      <c r="CT35" s="35">
        <v>750</v>
      </c>
      <c r="CU35" s="35">
        <f>756+192+84*6</f>
        <v>1452</v>
      </c>
      <c r="CV35" s="35"/>
      <c r="CW35" s="35"/>
      <c r="CX35" s="35"/>
      <c r="CY35" s="35"/>
      <c r="CZ35" s="35"/>
      <c r="DA35" s="35"/>
      <c r="DB35" s="35"/>
      <c r="DC35" s="35"/>
      <c r="DD35" s="35"/>
      <c r="DE35" s="35">
        <f t="shared" si="3"/>
        <v>50502</v>
      </c>
      <c r="DF35" s="35">
        <v>25200</v>
      </c>
      <c r="DG35" s="35">
        <v>750</v>
      </c>
      <c r="DH35" s="35">
        <v>756</v>
      </c>
      <c r="DI35" s="35"/>
      <c r="DJ35" s="35"/>
      <c r="DK35" s="35"/>
      <c r="DL35" s="35"/>
      <c r="DM35" s="35"/>
      <c r="DN35" s="35"/>
      <c r="DO35" s="35"/>
      <c r="DP35" s="35"/>
      <c r="DQ35" s="35"/>
      <c r="DR35" s="35">
        <f t="shared" si="11"/>
        <v>26706</v>
      </c>
      <c r="DS35" s="35">
        <f t="shared" si="12"/>
        <v>111330</v>
      </c>
      <c r="DT35" s="35">
        <v>29050</v>
      </c>
      <c r="DU35" s="35">
        <v>750</v>
      </c>
      <c r="DV35" s="35">
        <v>872</v>
      </c>
      <c r="DW35" s="35"/>
      <c r="DX35" s="35"/>
      <c r="DY35" s="35"/>
      <c r="DZ35" s="35"/>
      <c r="EA35" s="35"/>
      <c r="EB35" s="35"/>
      <c r="EC35" s="35"/>
      <c r="ED35" s="35"/>
      <c r="EE35" s="35"/>
      <c r="EF35" s="35">
        <f t="shared" si="13"/>
        <v>30672</v>
      </c>
      <c r="EG35" s="35">
        <v>29050</v>
      </c>
      <c r="EH35" s="35">
        <v>750</v>
      </c>
      <c r="EI35" s="35">
        <v>872</v>
      </c>
      <c r="EJ35" s="35"/>
      <c r="EK35" s="35"/>
      <c r="EL35" s="35"/>
      <c r="EM35" s="35"/>
      <c r="EN35" s="35"/>
      <c r="EO35" s="35"/>
      <c r="EP35" s="35"/>
      <c r="EQ35" s="35"/>
      <c r="ER35" s="35"/>
      <c r="ES35" s="35">
        <f t="shared" si="4"/>
        <v>30672</v>
      </c>
      <c r="ET35" s="35">
        <v>29050</v>
      </c>
      <c r="EU35" s="35">
        <v>750</v>
      </c>
      <c r="EV35" s="35">
        <v>872</v>
      </c>
      <c r="EW35" s="35"/>
      <c r="EX35" s="35"/>
      <c r="EY35" s="35"/>
      <c r="EZ35" s="35"/>
      <c r="FA35" s="35"/>
      <c r="FB35" s="35"/>
      <c r="FC35" s="35"/>
      <c r="FD35" s="35"/>
      <c r="FE35" s="35"/>
      <c r="FF35" s="35">
        <f t="shared" si="14"/>
        <v>30672</v>
      </c>
      <c r="FG35" s="35">
        <f t="shared" si="15"/>
        <v>92016</v>
      </c>
      <c r="FH35" s="35">
        <f t="shared" si="16"/>
        <v>356166</v>
      </c>
    </row>
    <row r="36" spans="1:164" x14ac:dyDescent="0.35">
      <c r="A36" s="34"/>
      <c r="B36" s="40"/>
      <c r="C36" s="41" t="s">
        <v>142</v>
      </c>
      <c r="D36" s="35">
        <v>28910</v>
      </c>
      <c r="E36" s="35">
        <v>750</v>
      </c>
      <c r="F36" s="35">
        <v>0</v>
      </c>
      <c r="G36" s="35"/>
      <c r="H36" s="35"/>
      <c r="I36" s="35"/>
      <c r="J36" s="35"/>
      <c r="K36" s="35"/>
      <c r="L36" s="35"/>
      <c r="M36" s="35"/>
      <c r="N36" s="35"/>
      <c r="O36" s="35"/>
      <c r="P36" s="35">
        <f t="shared" si="5"/>
        <v>29660</v>
      </c>
      <c r="Q36" s="35">
        <v>28910</v>
      </c>
      <c r="R36" s="35">
        <v>750</v>
      </c>
      <c r="S36" s="35">
        <v>0</v>
      </c>
      <c r="T36" s="35"/>
      <c r="U36" s="35"/>
      <c r="V36" s="35"/>
      <c r="W36" s="35"/>
      <c r="X36" s="35"/>
      <c r="Y36" s="35"/>
      <c r="Z36" s="35"/>
      <c r="AA36" s="35"/>
      <c r="AB36" s="35"/>
      <c r="AC36" s="35">
        <f t="shared" si="0"/>
        <v>29660</v>
      </c>
      <c r="AD36" s="35">
        <v>28910</v>
      </c>
      <c r="AE36" s="35">
        <v>750</v>
      </c>
      <c r="AF36" s="35">
        <v>0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>
        <f t="shared" si="1"/>
        <v>29660</v>
      </c>
      <c r="AQ36" s="35">
        <f t="shared" si="2"/>
        <v>88980</v>
      </c>
      <c r="AR36" s="35">
        <v>28910</v>
      </c>
      <c r="AS36" s="35">
        <v>750</v>
      </c>
      <c r="AT36" s="35">
        <v>0</v>
      </c>
      <c r="AU36" s="35"/>
      <c r="AV36" s="35"/>
      <c r="AW36" s="35"/>
      <c r="AX36" s="35"/>
      <c r="AY36" s="35"/>
      <c r="AZ36" s="35"/>
      <c r="BA36" s="35"/>
      <c r="BB36" s="35"/>
      <c r="BC36" s="35"/>
      <c r="BD36" s="35">
        <f t="shared" si="6"/>
        <v>29660</v>
      </c>
      <c r="BE36" s="35">
        <v>28910</v>
      </c>
      <c r="BF36" s="35">
        <v>750</v>
      </c>
      <c r="BG36" s="35">
        <v>0</v>
      </c>
      <c r="BH36" s="35"/>
      <c r="BI36" s="35"/>
      <c r="BJ36" s="35"/>
      <c r="BK36" s="35"/>
      <c r="BL36" s="35"/>
      <c r="BM36" s="35"/>
      <c r="BN36" s="35"/>
      <c r="BO36" s="35"/>
      <c r="BP36" s="35"/>
      <c r="BQ36" s="35">
        <f t="shared" si="7"/>
        <v>29660</v>
      </c>
      <c r="BR36" s="35">
        <v>28910</v>
      </c>
      <c r="BS36" s="35">
        <v>750</v>
      </c>
      <c r="BT36" s="35">
        <v>0</v>
      </c>
      <c r="BU36" s="35"/>
      <c r="BV36" s="35"/>
      <c r="BW36" s="35"/>
      <c r="BX36" s="35"/>
      <c r="BY36" s="35"/>
      <c r="BZ36" s="35"/>
      <c r="CA36" s="35"/>
      <c r="CB36" s="35"/>
      <c r="CC36" s="35"/>
      <c r="CD36" s="35">
        <f t="shared" si="8"/>
        <v>29660</v>
      </c>
      <c r="CE36" s="35">
        <f t="shared" si="9"/>
        <v>88980</v>
      </c>
      <c r="CF36" s="35">
        <f>30320+(1410*6)</f>
        <v>38780</v>
      </c>
      <c r="CG36" s="35">
        <v>750</v>
      </c>
      <c r="CH36" s="35">
        <v>0</v>
      </c>
      <c r="CI36" s="35"/>
      <c r="CJ36" s="35"/>
      <c r="CK36" s="35"/>
      <c r="CL36" s="35"/>
      <c r="CM36" s="35"/>
      <c r="CN36" s="35"/>
      <c r="CO36" s="35"/>
      <c r="CP36" s="35"/>
      <c r="CQ36" s="35"/>
      <c r="CR36" s="35">
        <f t="shared" si="10"/>
        <v>39530</v>
      </c>
      <c r="CS36" s="35">
        <f>30320+2800*6</f>
        <v>47120</v>
      </c>
      <c r="CT36" s="35">
        <v>750</v>
      </c>
      <c r="CU36" s="35">
        <v>0</v>
      </c>
      <c r="CV36" s="35"/>
      <c r="CW36" s="35"/>
      <c r="CX36" s="35"/>
      <c r="CY36" s="35"/>
      <c r="CZ36" s="35"/>
      <c r="DA36" s="35"/>
      <c r="DB36" s="35"/>
      <c r="DC36" s="35"/>
      <c r="DD36" s="35"/>
      <c r="DE36" s="35">
        <f t="shared" si="3"/>
        <v>47870</v>
      </c>
      <c r="DF36" s="35">
        <v>30320</v>
      </c>
      <c r="DG36" s="35">
        <v>750</v>
      </c>
      <c r="DH36" s="35">
        <v>0</v>
      </c>
      <c r="DI36" s="35"/>
      <c r="DJ36" s="35"/>
      <c r="DK36" s="35"/>
      <c r="DL36" s="35"/>
      <c r="DM36" s="35"/>
      <c r="DN36" s="35"/>
      <c r="DO36" s="35"/>
      <c r="DP36" s="35"/>
      <c r="DQ36" s="35"/>
      <c r="DR36" s="35">
        <f t="shared" si="11"/>
        <v>31070</v>
      </c>
      <c r="DS36" s="35">
        <f t="shared" si="12"/>
        <v>118470</v>
      </c>
      <c r="DT36" s="35">
        <v>33120</v>
      </c>
      <c r="DU36" s="35">
        <v>750</v>
      </c>
      <c r="DV36" s="35">
        <v>0</v>
      </c>
      <c r="DW36" s="35"/>
      <c r="DX36" s="35"/>
      <c r="DY36" s="35"/>
      <c r="DZ36" s="35"/>
      <c r="EA36" s="35"/>
      <c r="EB36" s="35"/>
      <c r="EC36" s="35"/>
      <c r="ED36" s="35"/>
      <c r="EE36" s="35"/>
      <c r="EF36" s="35">
        <f t="shared" si="13"/>
        <v>33870</v>
      </c>
      <c r="EG36" s="35">
        <v>33120</v>
      </c>
      <c r="EH36" s="35">
        <v>750</v>
      </c>
      <c r="EI36" s="35">
        <v>0</v>
      </c>
      <c r="EJ36" s="35"/>
      <c r="EK36" s="35"/>
      <c r="EL36" s="35"/>
      <c r="EM36" s="35"/>
      <c r="EN36" s="35"/>
      <c r="EO36" s="35"/>
      <c r="EP36" s="35"/>
      <c r="EQ36" s="35"/>
      <c r="ER36" s="35"/>
      <c r="ES36" s="35">
        <f t="shared" si="4"/>
        <v>33870</v>
      </c>
      <c r="ET36" s="35">
        <v>33120</v>
      </c>
      <c r="EU36" s="35">
        <v>750</v>
      </c>
      <c r="EV36" s="35">
        <v>0</v>
      </c>
      <c r="EW36" s="35"/>
      <c r="EX36" s="35"/>
      <c r="EY36" s="35"/>
      <c r="EZ36" s="35"/>
      <c r="FA36" s="35"/>
      <c r="FB36" s="35"/>
      <c r="FC36" s="35"/>
      <c r="FD36" s="35"/>
      <c r="FE36" s="35"/>
      <c r="FF36" s="35">
        <f t="shared" si="14"/>
        <v>33870</v>
      </c>
      <c r="FG36" s="35">
        <f t="shared" si="15"/>
        <v>101610</v>
      </c>
      <c r="FH36" s="35">
        <f t="shared" si="16"/>
        <v>398040</v>
      </c>
    </row>
    <row r="37" spans="1:164" x14ac:dyDescent="0.35">
      <c r="A37" s="34"/>
      <c r="B37" s="40"/>
      <c r="C37" s="41" t="s">
        <v>143</v>
      </c>
      <c r="D37" s="35">
        <v>28890</v>
      </c>
      <c r="E37" s="35">
        <v>750</v>
      </c>
      <c r="F37" s="35">
        <v>867</v>
      </c>
      <c r="G37" s="35"/>
      <c r="H37" s="35"/>
      <c r="I37" s="35"/>
      <c r="J37" s="35"/>
      <c r="K37" s="35"/>
      <c r="L37" s="35"/>
      <c r="M37" s="35"/>
      <c r="N37" s="35"/>
      <c r="O37" s="35"/>
      <c r="P37" s="35">
        <f t="shared" si="5"/>
        <v>30507</v>
      </c>
      <c r="Q37" s="35">
        <v>28890</v>
      </c>
      <c r="R37" s="35">
        <v>750</v>
      </c>
      <c r="S37" s="35">
        <v>867</v>
      </c>
      <c r="T37" s="35"/>
      <c r="U37" s="35"/>
      <c r="V37" s="35"/>
      <c r="W37" s="35"/>
      <c r="X37" s="35"/>
      <c r="Y37" s="35"/>
      <c r="Z37" s="35"/>
      <c r="AA37" s="35"/>
      <c r="AB37" s="35"/>
      <c r="AC37" s="35">
        <f t="shared" si="0"/>
        <v>30507</v>
      </c>
      <c r="AD37" s="35">
        <v>28890</v>
      </c>
      <c r="AE37" s="35">
        <v>750</v>
      </c>
      <c r="AF37" s="35">
        <v>867</v>
      </c>
      <c r="AG37" s="35"/>
      <c r="AH37" s="35"/>
      <c r="AI37" s="35"/>
      <c r="AJ37" s="35"/>
      <c r="AK37" s="35"/>
      <c r="AL37" s="35"/>
      <c r="AM37" s="35"/>
      <c r="AN37" s="35"/>
      <c r="AO37" s="35"/>
      <c r="AP37" s="35">
        <f t="shared" si="1"/>
        <v>30507</v>
      </c>
      <c r="AQ37" s="35">
        <f t="shared" si="2"/>
        <v>91521</v>
      </c>
      <c r="AR37" s="35">
        <v>28890</v>
      </c>
      <c r="AS37" s="35">
        <v>750</v>
      </c>
      <c r="AT37" s="35">
        <v>867</v>
      </c>
      <c r="AU37" s="35"/>
      <c r="AV37" s="35"/>
      <c r="AW37" s="35"/>
      <c r="AX37" s="35"/>
      <c r="AY37" s="35"/>
      <c r="AZ37" s="35"/>
      <c r="BA37" s="35"/>
      <c r="BB37" s="35"/>
      <c r="BC37" s="35"/>
      <c r="BD37" s="35">
        <f t="shared" si="6"/>
        <v>30507</v>
      </c>
      <c r="BE37" s="35">
        <v>28890</v>
      </c>
      <c r="BF37" s="35">
        <v>750</v>
      </c>
      <c r="BG37" s="35">
        <v>867</v>
      </c>
      <c r="BH37" s="35"/>
      <c r="BI37" s="35"/>
      <c r="BJ37" s="35"/>
      <c r="BK37" s="35"/>
      <c r="BL37" s="35"/>
      <c r="BM37" s="35"/>
      <c r="BN37" s="35"/>
      <c r="BO37" s="35"/>
      <c r="BP37" s="35"/>
      <c r="BQ37" s="35">
        <f t="shared" si="7"/>
        <v>30507</v>
      </c>
      <c r="BR37" s="35">
        <v>28890</v>
      </c>
      <c r="BS37" s="35">
        <v>750</v>
      </c>
      <c r="BT37" s="35">
        <v>867</v>
      </c>
      <c r="BU37" s="35"/>
      <c r="BV37" s="35"/>
      <c r="BW37" s="35"/>
      <c r="BX37" s="35"/>
      <c r="BY37" s="35"/>
      <c r="BZ37" s="35"/>
      <c r="CA37" s="35"/>
      <c r="CB37" s="35"/>
      <c r="CC37" s="35"/>
      <c r="CD37" s="35">
        <f t="shared" si="8"/>
        <v>30507</v>
      </c>
      <c r="CE37" s="35">
        <f t="shared" si="9"/>
        <v>91521</v>
      </c>
      <c r="CF37" s="35">
        <f>30340+(1450*6)</f>
        <v>39040</v>
      </c>
      <c r="CG37" s="35">
        <v>750</v>
      </c>
      <c r="CH37" s="35">
        <f>910+(44*6)</f>
        <v>1174</v>
      </c>
      <c r="CI37" s="35"/>
      <c r="CJ37" s="35"/>
      <c r="CK37" s="35"/>
      <c r="CL37" s="35"/>
      <c r="CM37" s="35"/>
      <c r="CN37" s="35"/>
      <c r="CO37" s="35"/>
      <c r="CP37" s="35"/>
      <c r="CQ37" s="35"/>
      <c r="CR37" s="35">
        <f t="shared" si="10"/>
        <v>40964</v>
      </c>
      <c r="CS37" s="35">
        <f>30340+2800*6</f>
        <v>47140</v>
      </c>
      <c r="CT37" s="35">
        <v>750</v>
      </c>
      <c r="CU37" s="35">
        <f>910+84*6</f>
        <v>1414</v>
      </c>
      <c r="CV37" s="35"/>
      <c r="CW37" s="35"/>
      <c r="CX37" s="35"/>
      <c r="CY37" s="35"/>
      <c r="CZ37" s="35"/>
      <c r="DA37" s="35"/>
      <c r="DB37" s="35"/>
      <c r="DC37" s="35"/>
      <c r="DD37" s="35"/>
      <c r="DE37" s="35">
        <f t="shared" si="3"/>
        <v>49304</v>
      </c>
      <c r="DF37" s="35">
        <v>30340</v>
      </c>
      <c r="DG37" s="35">
        <v>750</v>
      </c>
      <c r="DH37" s="35">
        <v>910</v>
      </c>
      <c r="DI37" s="35"/>
      <c r="DJ37" s="35"/>
      <c r="DK37" s="35"/>
      <c r="DL37" s="35"/>
      <c r="DM37" s="35"/>
      <c r="DN37" s="35"/>
      <c r="DO37" s="35"/>
      <c r="DP37" s="35"/>
      <c r="DQ37" s="35"/>
      <c r="DR37" s="35">
        <f t="shared" si="11"/>
        <v>32000</v>
      </c>
      <c r="DS37" s="35">
        <f t="shared" si="12"/>
        <v>122268</v>
      </c>
      <c r="DT37" s="35">
        <v>33140</v>
      </c>
      <c r="DU37" s="35">
        <v>750</v>
      </c>
      <c r="DV37" s="35">
        <v>994</v>
      </c>
      <c r="DW37" s="35"/>
      <c r="DX37" s="35"/>
      <c r="DY37" s="35"/>
      <c r="DZ37" s="35"/>
      <c r="EA37" s="35"/>
      <c r="EB37" s="35"/>
      <c r="EC37" s="35"/>
      <c r="ED37" s="35"/>
      <c r="EE37" s="35"/>
      <c r="EF37" s="35">
        <f t="shared" si="13"/>
        <v>34884</v>
      </c>
      <c r="EG37" s="35">
        <v>33140</v>
      </c>
      <c r="EH37" s="35">
        <v>750</v>
      </c>
      <c r="EI37" s="35">
        <v>994</v>
      </c>
      <c r="EJ37" s="35"/>
      <c r="EK37" s="35"/>
      <c r="EL37" s="35"/>
      <c r="EM37" s="35"/>
      <c r="EN37" s="35"/>
      <c r="EO37" s="35"/>
      <c r="EP37" s="35"/>
      <c r="EQ37" s="35"/>
      <c r="ER37" s="35"/>
      <c r="ES37" s="35">
        <f t="shared" si="4"/>
        <v>34884</v>
      </c>
      <c r="ET37" s="35">
        <v>33140</v>
      </c>
      <c r="EU37" s="35">
        <v>750</v>
      </c>
      <c r="EV37" s="35">
        <v>994</v>
      </c>
      <c r="EW37" s="35"/>
      <c r="EX37" s="35"/>
      <c r="EY37" s="35"/>
      <c r="EZ37" s="35"/>
      <c r="FA37" s="35"/>
      <c r="FB37" s="35"/>
      <c r="FC37" s="35"/>
      <c r="FD37" s="35"/>
      <c r="FE37" s="35"/>
      <c r="FF37" s="35">
        <f t="shared" si="14"/>
        <v>34884</v>
      </c>
      <c r="FG37" s="35">
        <f t="shared" si="15"/>
        <v>104652</v>
      </c>
      <c r="FH37" s="35">
        <f t="shared" si="16"/>
        <v>409962</v>
      </c>
    </row>
    <row r="38" spans="1:164" x14ac:dyDescent="0.35">
      <c r="A38" s="34"/>
      <c r="B38" s="40"/>
      <c r="C38" s="41" t="s">
        <v>144</v>
      </c>
      <c r="D38" s="35">
        <v>28870</v>
      </c>
      <c r="E38" s="35">
        <v>750</v>
      </c>
      <c r="F38" s="35">
        <v>866</v>
      </c>
      <c r="G38" s="35"/>
      <c r="H38" s="35"/>
      <c r="I38" s="35"/>
      <c r="J38" s="35"/>
      <c r="K38" s="35"/>
      <c r="L38" s="35"/>
      <c r="M38" s="35"/>
      <c r="N38" s="35"/>
      <c r="O38" s="35"/>
      <c r="P38" s="35">
        <f t="shared" si="5"/>
        <v>30486</v>
      </c>
      <c r="Q38" s="35">
        <v>28870</v>
      </c>
      <c r="R38" s="35">
        <v>750</v>
      </c>
      <c r="S38" s="35">
        <v>866</v>
      </c>
      <c r="T38" s="35"/>
      <c r="U38" s="35"/>
      <c r="V38" s="35"/>
      <c r="W38" s="35"/>
      <c r="X38" s="35"/>
      <c r="Y38" s="35"/>
      <c r="Z38" s="35"/>
      <c r="AA38" s="35"/>
      <c r="AB38" s="35"/>
      <c r="AC38" s="35">
        <f t="shared" si="0"/>
        <v>30486</v>
      </c>
      <c r="AD38" s="35">
        <v>28870</v>
      </c>
      <c r="AE38" s="35">
        <v>750</v>
      </c>
      <c r="AF38" s="35">
        <v>866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>
        <f t="shared" si="1"/>
        <v>30486</v>
      </c>
      <c r="AQ38" s="35">
        <f t="shared" si="2"/>
        <v>91458</v>
      </c>
      <c r="AR38" s="35">
        <v>28870</v>
      </c>
      <c r="AS38" s="35">
        <v>750</v>
      </c>
      <c r="AT38" s="35">
        <v>866</v>
      </c>
      <c r="AU38" s="35"/>
      <c r="AV38" s="35"/>
      <c r="AW38" s="35"/>
      <c r="AX38" s="35"/>
      <c r="AY38" s="35"/>
      <c r="AZ38" s="35"/>
      <c r="BA38" s="35"/>
      <c r="BB38" s="35"/>
      <c r="BC38" s="35"/>
      <c r="BD38" s="35">
        <f t="shared" si="6"/>
        <v>30486</v>
      </c>
      <c r="BE38" s="35">
        <v>28870</v>
      </c>
      <c r="BF38" s="35">
        <v>750</v>
      </c>
      <c r="BG38" s="35">
        <v>866</v>
      </c>
      <c r="BH38" s="35"/>
      <c r="BI38" s="35"/>
      <c r="BJ38" s="35"/>
      <c r="BK38" s="35"/>
      <c r="BL38" s="35"/>
      <c r="BM38" s="35"/>
      <c r="BN38" s="35"/>
      <c r="BO38" s="35"/>
      <c r="BP38" s="35"/>
      <c r="BQ38" s="35">
        <f t="shared" si="7"/>
        <v>30486</v>
      </c>
      <c r="BR38" s="35">
        <v>28870</v>
      </c>
      <c r="BS38" s="35">
        <v>750</v>
      </c>
      <c r="BT38" s="35">
        <v>866</v>
      </c>
      <c r="BU38" s="35"/>
      <c r="BV38" s="35"/>
      <c r="BW38" s="35"/>
      <c r="BX38" s="35"/>
      <c r="BY38" s="35"/>
      <c r="BZ38" s="35"/>
      <c r="CA38" s="35"/>
      <c r="CB38" s="35"/>
      <c r="CC38" s="35"/>
      <c r="CD38" s="35">
        <f t="shared" si="8"/>
        <v>30486</v>
      </c>
      <c r="CE38" s="35">
        <f t="shared" si="9"/>
        <v>91458</v>
      </c>
      <c r="CF38" s="35">
        <f>30320+(1450*6)</f>
        <v>39020</v>
      </c>
      <c r="CG38" s="35">
        <v>750</v>
      </c>
      <c r="CH38" s="35">
        <f>910+(44*6)</f>
        <v>1174</v>
      </c>
      <c r="CI38" s="35"/>
      <c r="CJ38" s="35"/>
      <c r="CK38" s="35"/>
      <c r="CL38" s="35"/>
      <c r="CM38" s="35"/>
      <c r="CN38" s="35"/>
      <c r="CO38" s="35"/>
      <c r="CP38" s="35"/>
      <c r="CQ38" s="35"/>
      <c r="CR38" s="35">
        <f t="shared" si="10"/>
        <v>40944</v>
      </c>
      <c r="CS38" s="35">
        <f>30320+2800*6</f>
        <v>47120</v>
      </c>
      <c r="CT38" s="35">
        <v>750</v>
      </c>
      <c r="CU38" s="35">
        <f>910+84*6</f>
        <v>1414</v>
      </c>
      <c r="CV38" s="35"/>
      <c r="CW38" s="35"/>
      <c r="CX38" s="35"/>
      <c r="CY38" s="35"/>
      <c r="CZ38" s="35"/>
      <c r="DA38" s="35"/>
      <c r="DB38" s="35"/>
      <c r="DC38" s="35"/>
      <c r="DD38" s="35"/>
      <c r="DE38" s="35">
        <f t="shared" si="3"/>
        <v>49284</v>
      </c>
      <c r="DF38" s="35">
        <v>30320</v>
      </c>
      <c r="DG38" s="35">
        <v>750</v>
      </c>
      <c r="DH38" s="35">
        <v>910</v>
      </c>
      <c r="DI38" s="35"/>
      <c r="DJ38" s="35"/>
      <c r="DK38" s="35"/>
      <c r="DL38" s="35"/>
      <c r="DM38" s="35"/>
      <c r="DN38" s="35"/>
      <c r="DO38" s="35"/>
      <c r="DP38" s="35"/>
      <c r="DQ38" s="35"/>
      <c r="DR38" s="35">
        <f t="shared" si="11"/>
        <v>31980</v>
      </c>
      <c r="DS38" s="35">
        <f t="shared" si="12"/>
        <v>122208</v>
      </c>
      <c r="DT38" s="35">
        <v>33120</v>
      </c>
      <c r="DU38" s="35">
        <v>750</v>
      </c>
      <c r="DV38" s="35">
        <v>994</v>
      </c>
      <c r="DW38" s="35"/>
      <c r="DX38" s="35"/>
      <c r="DY38" s="35"/>
      <c r="DZ38" s="35"/>
      <c r="EA38" s="35"/>
      <c r="EB38" s="35"/>
      <c r="EC38" s="35"/>
      <c r="ED38" s="35"/>
      <c r="EE38" s="35"/>
      <c r="EF38" s="35">
        <f t="shared" si="13"/>
        <v>34864</v>
      </c>
      <c r="EG38" s="35">
        <v>33120</v>
      </c>
      <c r="EH38" s="35">
        <v>750</v>
      </c>
      <c r="EI38" s="35">
        <v>994</v>
      </c>
      <c r="EJ38" s="35"/>
      <c r="EK38" s="35"/>
      <c r="EL38" s="35"/>
      <c r="EM38" s="35"/>
      <c r="EN38" s="35"/>
      <c r="EO38" s="35"/>
      <c r="EP38" s="35"/>
      <c r="EQ38" s="35"/>
      <c r="ER38" s="35"/>
      <c r="ES38" s="35">
        <f t="shared" si="4"/>
        <v>34864</v>
      </c>
      <c r="ET38" s="35">
        <v>33120</v>
      </c>
      <c r="EU38" s="35">
        <v>750</v>
      </c>
      <c r="EV38" s="35">
        <v>994</v>
      </c>
      <c r="EW38" s="35"/>
      <c r="EX38" s="35"/>
      <c r="EY38" s="35"/>
      <c r="EZ38" s="35"/>
      <c r="FA38" s="35"/>
      <c r="FB38" s="35"/>
      <c r="FC38" s="35"/>
      <c r="FD38" s="35"/>
      <c r="FE38" s="35"/>
      <c r="FF38" s="35">
        <f t="shared" si="14"/>
        <v>34864</v>
      </c>
      <c r="FG38" s="35">
        <f t="shared" si="15"/>
        <v>104592</v>
      </c>
      <c r="FH38" s="35">
        <f t="shared" si="16"/>
        <v>409716</v>
      </c>
    </row>
    <row r="39" spans="1:164" x14ac:dyDescent="0.35">
      <c r="A39" s="34"/>
      <c r="B39" s="40"/>
      <c r="C39" s="41" t="s">
        <v>145</v>
      </c>
      <c r="D39" s="35"/>
      <c r="E39" s="35"/>
      <c r="F39" s="35"/>
      <c r="G39" s="35">
        <v>22170</v>
      </c>
      <c r="H39" s="35">
        <v>750</v>
      </c>
      <c r="I39" s="35">
        <v>665</v>
      </c>
      <c r="J39" s="35"/>
      <c r="K39" s="35"/>
      <c r="L39" s="35"/>
      <c r="M39" s="35"/>
      <c r="N39" s="35"/>
      <c r="O39" s="35"/>
      <c r="P39" s="35">
        <f t="shared" si="5"/>
        <v>23585</v>
      </c>
      <c r="Q39" s="35"/>
      <c r="R39" s="35"/>
      <c r="S39" s="35"/>
      <c r="T39" s="35">
        <v>22170</v>
      </c>
      <c r="U39" s="35">
        <v>750</v>
      </c>
      <c r="V39" s="35">
        <v>665</v>
      </c>
      <c r="W39" s="35"/>
      <c r="X39" s="35"/>
      <c r="Y39" s="35"/>
      <c r="Z39" s="35"/>
      <c r="AA39" s="35"/>
      <c r="AB39" s="35"/>
      <c r="AC39" s="35">
        <f t="shared" si="0"/>
        <v>23585</v>
      </c>
      <c r="AD39" s="35"/>
      <c r="AE39" s="35"/>
      <c r="AF39" s="35"/>
      <c r="AG39" s="35">
        <v>22170</v>
      </c>
      <c r="AH39" s="35">
        <v>750</v>
      </c>
      <c r="AI39" s="35">
        <v>665</v>
      </c>
      <c r="AJ39" s="35"/>
      <c r="AK39" s="35"/>
      <c r="AL39" s="35"/>
      <c r="AM39" s="35"/>
      <c r="AN39" s="35"/>
      <c r="AO39" s="35"/>
      <c r="AP39" s="35">
        <f t="shared" si="1"/>
        <v>23585</v>
      </c>
      <c r="AQ39" s="35">
        <f t="shared" si="2"/>
        <v>70755</v>
      </c>
      <c r="AR39" s="35"/>
      <c r="AS39" s="35"/>
      <c r="AT39" s="35"/>
      <c r="AU39" s="35">
        <v>22170</v>
      </c>
      <c r="AV39" s="35">
        <v>750</v>
      </c>
      <c r="AW39" s="35">
        <v>665</v>
      </c>
      <c r="AX39" s="35"/>
      <c r="AY39" s="35"/>
      <c r="AZ39" s="35"/>
      <c r="BA39" s="35"/>
      <c r="BB39" s="35"/>
      <c r="BC39" s="35"/>
      <c r="BD39" s="35">
        <f t="shared" si="6"/>
        <v>23585</v>
      </c>
      <c r="BE39" s="35"/>
      <c r="BF39" s="35"/>
      <c r="BG39" s="35"/>
      <c r="BH39" s="35">
        <v>22170</v>
      </c>
      <c r="BI39" s="35">
        <v>750</v>
      </c>
      <c r="BJ39" s="35">
        <v>665</v>
      </c>
      <c r="BK39" s="35"/>
      <c r="BL39" s="35"/>
      <c r="BM39" s="35"/>
      <c r="BN39" s="35"/>
      <c r="BO39" s="35"/>
      <c r="BP39" s="35"/>
      <c r="BQ39" s="35">
        <f t="shared" si="7"/>
        <v>23585</v>
      </c>
      <c r="BR39" s="35"/>
      <c r="BS39" s="35"/>
      <c r="BT39" s="35"/>
      <c r="BU39" s="35">
        <v>22170</v>
      </c>
      <c r="BV39" s="35">
        <v>750</v>
      </c>
      <c r="BW39" s="35">
        <v>665</v>
      </c>
      <c r="BX39" s="35"/>
      <c r="BY39" s="35"/>
      <c r="BZ39" s="35"/>
      <c r="CA39" s="35"/>
      <c r="CB39" s="35"/>
      <c r="CC39" s="35"/>
      <c r="CD39" s="35">
        <f t="shared" si="8"/>
        <v>23585</v>
      </c>
      <c r="CE39" s="35">
        <f t="shared" si="9"/>
        <v>70755</v>
      </c>
      <c r="CF39" s="35"/>
      <c r="CG39" s="35"/>
      <c r="CH39" s="35"/>
      <c r="CI39" s="35">
        <f>23280+(1110*6)</f>
        <v>29940</v>
      </c>
      <c r="CJ39" s="35">
        <v>750</v>
      </c>
      <c r="CK39" s="35">
        <f>698+(33*6)</f>
        <v>896</v>
      </c>
      <c r="CL39" s="35"/>
      <c r="CM39" s="35"/>
      <c r="CN39" s="35"/>
      <c r="CO39" s="35"/>
      <c r="CP39" s="35"/>
      <c r="CQ39" s="35"/>
      <c r="CR39" s="35">
        <f t="shared" si="10"/>
        <v>31586</v>
      </c>
      <c r="CS39" s="35"/>
      <c r="CT39" s="35"/>
      <c r="CU39" s="35"/>
      <c r="CV39" s="35">
        <f>23280+1200*6</f>
        <v>30480</v>
      </c>
      <c r="CW39" s="35">
        <v>750</v>
      </c>
      <c r="CX39" s="35">
        <f>698+36*6</f>
        <v>914</v>
      </c>
      <c r="CY39" s="35"/>
      <c r="CZ39" s="35"/>
      <c r="DA39" s="35"/>
      <c r="DB39" s="35"/>
      <c r="DC39" s="35"/>
      <c r="DD39" s="35"/>
      <c r="DE39" s="35">
        <f t="shared" si="3"/>
        <v>32144</v>
      </c>
      <c r="DF39" s="35"/>
      <c r="DG39" s="35"/>
      <c r="DH39" s="35"/>
      <c r="DI39" s="35">
        <v>23280</v>
      </c>
      <c r="DJ39" s="35">
        <v>750</v>
      </c>
      <c r="DK39" s="35">
        <v>698</v>
      </c>
      <c r="DL39" s="35"/>
      <c r="DM39" s="35"/>
      <c r="DN39" s="35"/>
      <c r="DO39" s="35"/>
      <c r="DP39" s="35"/>
      <c r="DQ39" s="35"/>
      <c r="DR39" s="35">
        <f t="shared" si="11"/>
        <v>24728</v>
      </c>
      <c r="DS39" s="35">
        <f t="shared" si="12"/>
        <v>88458</v>
      </c>
      <c r="DT39" s="35"/>
      <c r="DU39" s="35"/>
      <c r="DV39" s="35"/>
      <c r="DW39" s="35">
        <v>24480</v>
      </c>
      <c r="DX39" s="35">
        <v>750</v>
      </c>
      <c r="DY39" s="35">
        <v>734</v>
      </c>
      <c r="DZ39" s="35"/>
      <c r="EA39" s="35"/>
      <c r="EB39" s="35"/>
      <c r="EC39" s="35"/>
      <c r="ED39" s="35"/>
      <c r="EE39" s="35"/>
      <c r="EF39" s="35">
        <f t="shared" si="13"/>
        <v>25964</v>
      </c>
      <c r="EG39" s="35"/>
      <c r="EH39" s="35"/>
      <c r="EI39" s="35"/>
      <c r="EJ39" s="35">
        <v>24480</v>
      </c>
      <c r="EK39" s="35">
        <v>750</v>
      </c>
      <c r="EL39" s="35">
        <v>734</v>
      </c>
      <c r="EM39" s="35"/>
      <c r="EN39" s="35"/>
      <c r="EO39" s="35"/>
      <c r="EP39" s="35"/>
      <c r="EQ39" s="35"/>
      <c r="ER39" s="35"/>
      <c r="ES39" s="35">
        <f t="shared" si="4"/>
        <v>25964</v>
      </c>
      <c r="ET39" s="35"/>
      <c r="EU39" s="35"/>
      <c r="EV39" s="35"/>
      <c r="EW39" s="35">
        <v>24480</v>
      </c>
      <c r="EX39" s="35">
        <v>750</v>
      </c>
      <c r="EY39" s="35">
        <v>734</v>
      </c>
      <c r="EZ39" s="35"/>
      <c r="FA39" s="35"/>
      <c r="FB39" s="35"/>
      <c r="FC39" s="35"/>
      <c r="FD39" s="35"/>
      <c r="FE39" s="35"/>
      <c r="FF39" s="35">
        <f t="shared" si="14"/>
        <v>25964</v>
      </c>
      <c r="FG39" s="35">
        <f t="shared" si="15"/>
        <v>77892</v>
      </c>
      <c r="FH39" s="35">
        <f t="shared" si="16"/>
        <v>307860</v>
      </c>
    </row>
    <row r="40" spans="1:164" x14ac:dyDescent="0.35">
      <c r="A40" s="34"/>
      <c r="B40" s="40"/>
      <c r="C40" s="41" t="s">
        <v>146</v>
      </c>
      <c r="D40" s="35"/>
      <c r="E40" s="35"/>
      <c r="F40" s="35"/>
      <c r="G40" s="35">
        <v>21920</v>
      </c>
      <c r="H40" s="35">
        <v>750</v>
      </c>
      <c r="I40" s="35">
        <v>658</v>
      </c>
      <c r="J40" s="35"/>
      <c r="K40" s="35"/>
      <c r="L40" s="35"/>
      <c r="M40" s="35"/>
      <c r="N40" s="35"/>
      <c r="O40" s="35"/>
      <c r="P40" s="35">
        <f t="shared" si="5"/>
        <v>23328</v>
      </c>
      <c r="Q40" s="35"/>
      <c r="R40" s="35"/>
      <c r="S40" s="35"/>
      <c r="T40" s="35">
        <v>21920</v>
      </c>
      <c r="U40" s="35">
        <v>750</v>
      </c>
      <c r="V40" s="35">
        <v>658</v>
      </c>
      <c r="W40" s="35"/>
      <c r="X40" s="35"/>
      <c r="Y40" s="35"/>
      <c r="Z40" s="35"/>
      <c r="AA40" s="35"/>
      <c r="AB40" s="35"/>
      <c r="AC40" s="35">
        <f t="shared" si="0"/>
        <v>23328</v>
      </c>
      <c r="AD40" s="35"/>
      <c r="AE40" s="35"/>
      <c r="AF40" s="35"/>
      <c r="AG40" s="35">
        <v>21920</v>
      </c>
      <c r="AH40" s="35">
        <v>750</v>
      </c>
      <c r="AI40" s="35">
        <v>658</v>
      </c>
      <c r="AJ40" s="35"/>
      <c r="AK40" s="35"/>
      <c r="AL40" s="35"/>
      <c r="AM40" s="35"/>
      <c r="AN40" s="35"/>
      <c r="AO40" s="35"/>
      <c r="AP40" s="35">
        <f t="shared" si="1"/>
        <v>23328</v>
      </c>
      <c r="AQ40" s="35">
        <f t="shared" si="2"/>
        <v>69984</v>
      </c>
      <c r="AR40" s="35"/>
      <c r="AS40" s="35"/>
      <c r="AT40" s="35"/>
      <c r="AU40" s="35">
        <v>21920</v>
      </c>
      <c r="AV40" s="35">
        <v>750</v>
      </c>
      <c r="AW40" s="35">
        <v>658</v>
      </c>
      <c r="AX40" s="35"/>
      <c r="AY40" s="35"/>
      <c r="AZ40" s="35"/>
      <c r="BA40" s="35"/>
      <c r="BB40" s="35"/>
      <c r="BC40" s="35"/>
      <c r="BD40" s="35">
        <f t="shared" si="6"/>
        <v>23328</v>
      </c>
      <c r="BE40" s="35"/>
      <c r="BF40" s="35"/>
      <c r="BG40" s="35"/>
      <c r="BH40" s="35">
        <v>21920</v>
      </c>
      <c r="BI40" s="35">
        <v>750</v>
      </c>
      <c r="BJ40" s="35">
        <v>658</v>
      </c>
      <c r="BK40" s="35"/>
      <c r="BL40" s="35"/>
      <c r="BM40" s="35"/>
      <c r="BN40" s="35"/>
      <c r="BO40" s="35"/>
      <c r="BP40" s="35"/>
      <c r="BQ40" s="35">
        <f t="shared" si="7"/>
        <v>23328</v>
      </c>
      <c r="BR40" s="35"/>
      <c r="BS40" s="35"/>
      <c r="BT40" s="35"/>
      <c r="BU40" s="35">
        <v>21920</v>
      </c>
      <c r="BV40" s="35">
        <v>750</v>
      </c>
      <c r="BW40" s="35">
        <v>658</v>
      </c>
      <c r="BX40" s="35"/>
      <c r="BY40" s="35"/>
      <c r="BZ40" s="35"/>
      <c r="CA40" s="35"/>
      <c r="CB40" s="35"/>
      <c r="CC40" s="35"/>
      <c r="CD40" s="35">
        <f t="shared" si="8"/>
        <v>23328</v>
      </c>
      <c r="CE40" s="35">
        <f t="shared" si="9"/>
        <v>69984</v>
      </c>
      <c r="CF40" s="35"/>
      <c r="CG40" s="35"/>
      <c r="CH40" s="35"/>
      <c r="CI40" s="35">
        <f>22740+(820*6)</f>
        <v>27660</v>
      </c>
      <c r="CJ40" s="35">
        <v>750</v>
      </c>
      <c r="CK40" s="35">
        <f>682+(25*6)</f>
        <v>832</v>
      </c>
      <c r="CL40" s="35"/>
      <c r="CM40" s="35"/>
      <c r="CN40" s="35"/>
      <c r="CO40" s="35"/>
      <c r="CP40" s="35"/>
      <c r="CQ40" s="35"/>
      <c r="CR40" s="35">
        <f t="shared" si="10"/>
        <v>29242</v>
      </c>
      <c r="CS40" s="35"/>
      <c r="CT40" s="35"/>
      <c r="CU40" s="35"/>
      <c r="CV40" s="35">
        <f>22740+1200*6</f>
        <v>29940</v>
      </c>
      <c r="CW40" s="35">
        <v>750</v>
      </c>
      <c r="CX40" s="35">
        <f>682+36*6</f>
        <v>898</v>
      </c>
      <c r="CY40" s="35"/>
      <c r="CZ40" s="35"/>
      <c r="DA40" s="35"/>
      <c r="DB40" s="35"/>
      <c r="DC40" s="35"/>
      <c r="DD40" s="35"/>
      <c r="DE40" s="35">
        <f t="shared" si="3"/>
        <v>31588</v>
      </c>
      <c r="DF40" s="35"/>
      <c r="DG40" s="35"/>
      <c r="DH40" s="35"/>
      <c r="DI40" s="35">
        <v>22740</v>
      </c>
      <c r="DJ40" s="35">
        <v>750</v>
      </c>
      <c r="DK40" s="35">
        <v>682</v>
      </c>
      <c r="DL40" s="35"/>
      <c r="DM40" s="35"/>
      <c r="DN40" s="35"/>
      <c r="DO40" s="35"/>
      <c r="DP40" s="35"/>
      <c r="DQ40" s="35"/>
      <c r="DR40" s="35">
        <f t="shared" si="11"/>
        <v>24172</v>
      </c>
      <c r="DS40" s="35">
        <f t="shared" si="12"/>
        <v>85002</v>
      </c>
      <c r="DT40" s="35"/>
      <c r="DU40" s="35"/>
      <c r="DV40" s="35"/>
      <c r="DW40" s="35">
        <v>23940</v>
      </c>
      <c r="DX40" s="35">
        <v>750</v>
      </c>
      <c r="DY40" s="35">
        <v>718</v>
      </c>
      <c r="DZ40" s="35"/>
      <c r="EA40" s="35"/>
      <c r="EB40" s="35"/>
      <c r="EC40" s="35"/>
      <c r="ED40" s="35"/>
      <c r="EE40" s="35"/>
      <c r="EF40" s="35">
        <f t="shared" si="13"/>
        <v>25408</v>
      </c>
      <c r="EG40" s="35"/>
      <c r="EH40" s="35"/>
      <c r="EI40" s="35"/>
      <c r="EJ40" s="35">
        <v>23940</v>
      </c>
      <c r="EK40" s="35">
        <v>750</v>
      </c>
      <c r="EL40" s="35">
        <v>718</v>
      </c>
      <c r="EM40" s="35"/>
      <c r="EN40" s="35"/>
      <c r="EO40" s="35"/>
      <c r="EP40" s="35"/>
      <c r="EQ40" s="35"/>
      <c r="ER40" s="35"/>
      <c r="ES40" s="35">
        <f t="shared" si="4"/>
        <v>25408</v>
      </c>
      <c r="ET40" s="35"/>
      <c r="EU40" s="35"/>
      <c r="EV40" s="35"/>
      <c r="EW40" s="35">
        <v>23940</v>
      </c>
      <c r="EX40" s="35">
        <v>750</v>
      </c>
      <c r="EY40" s="35">
        <v>718</v>
      </c>
      <c r="EZ40" s="35"/>
      <c r="FA40" s="35"/>
      <c r="FB40" s="35"/>
      <c r="FC40" s="35"/>
      <c r="FD40" s="35"/>
      <c r="FE40" s="35"/>
      <c r="FF40" s="35">
        <f t="shared" si="14"/>
        <v>25408</v>
      </c>
      <c r="FG40" s="35">
        <f t="shared" si="15"/>
        <v>76224</v>
      </c>
      <c r="FH40" s="35">
        <f t="shared" si="16"/>
        <v>301194</v>
      </c>
    </row>
    <row r="41" spans="1:164" x14ac:dyDescent="0.35">
      <c r="A41" s="34"/>
      <c r="B41" s="40"/>
      <c r="C41" s="41" t="s">
        <v>147</v>
      </c>
      <c r="D41" s="35"/>
      <c r="E41" s="35"/>
      <c r="F41" s="35"/>
      <c r="G41" s="35">
        <v>22050</v>
      </c>
      <c r="H41" s="35">
        <v>750</v>
      </c>
      <c r="I41" s="35">
        <v>662</v>
      </c>
      <c r="J41" s="35"/>
      <c r="K41" s="35"/>
      <c r="L41" s="35"/>
      <c r="M41" s="35"/>
      <c r="N41" s="35"/>
      <c r="O41" s="35"/>
      <c r="P41" s="35">
        <f t="shared" si="5"/>
        <v>23462</v>
      </c>
      <c r="Q41" s="35"/>
      <c r="R41" s="35"/>
      <c r="S41" s="35"/>
      <c r="T41" s="35">
        <v>22050</v>
      </c>
      <c r="U41" s="35">
        <v>750</v>
      </c>
      <c r="V41" s="35">
        <v>662</v>
      </c>
      <c r="W41" s="35"/>
      <c r="X41" s="35"/>
      <c r="Y41" s="35"/>
      <c r="Z41" s="35"/>
      <c r="AA41" s="35"/>
      <c r="AB41" s="35"/>
      <c r="AC41" s="35">
        <f t="shared" ref="AC41:AC75" si="168">SUM(Q41:AB41)</f>
        <v>23462</v>
      </c>
      <c r="AD41" s="35"/>
      <c r="AE41" s="35"/>
      <c r="AF41" s="35"/>
      <c r="AG41" s="35">
        <v>22050</v>
      </c>
      <c r="AH41" s="35">
        <v>750</v>
      </c>
      <c r="AI41" s="35">
        <v>662</v>
      </c>
      <c r="AJ41" s="35"/>
      <c r="AK41" s="35"/>
      <c r="AL41" s="35"/>
      <c r="AM41" s="35"/>
      <c r="AN41" s="35"/>
      <c r="AO41" s="35"/>
      <c r="AP41" s="35">
        <f t="shared" si="1"/>
        <v>23462</v>
      </c>
      <c r="AQ41" s="35">
        <f t="shared" ref="AQ41:AQ75" si="169">+P41+AC41+AP41</f>
        <v>70386</v>
      </c>
      <c r="AR41" s="35"/>
      <c r="AS41" s="35"/>
      <c r="AT41" s="35"/>
      <c r="AU41" s="35">
        <v>22050</v>
      </c>
      <c r="AV41" s="35">
        <v>750</v>
      </c>
      <c r="AW41" s="35">
        <v>662</v>
      </c>
      <c r="AX41" s="35"/>
      <c r="AY41" s="35"/>
      <c r="AZ41" s="35"/>
      <c r="BA41" s="35"/>
      <c r="BB41" s="35"/>
      <c r="BC41" s="35"/>
      <c r="BD41" s="35">
        <f t="shared" si="6"/>
        <v>23462</v>
      </c>
      <c r="BE41" s="35"/>
      <c r="BF41" s="35"/>
      <c r="BG41" s="35"/>
      <c r="BH41" s="35">
        <v>22050</v>
      </c>
      <c r="BI41" s="35">
        <v>750</v>
      </c>
      <c r="BJ41" s="35">
        <v>662</v>
      </c>
      <c r="BK41" s="35"/>
      <c r="BL41" s="35"/>
      <c r="BM41" s="35"/>
      <c r="BN41" s="35"/>
      <c r="BO41" s="35"/>
      <c r="BP41" s="35"/>
      <c r="BQ41" s="35">
        <f t="shared" si="7"/>
        <v>23462</v>
      </c>
      <c r="BR41" s="35"/>
      <c r="BS41" s="35"/>
      <c r="BT41" s="35"/>
      <c r="BU41" s="35">
        <v>22050</v>
      </c>
      <c r="BV41" s="35">
        <v>750</v>
      </c>
      <c r="BW41" s="35">
        <v>662</v>
      </c>
      <c r="BX41" s="35"/>
      <c r="BY41" s="35"/>
      <c r="BZ41" s="35"/>
      <c r="CA41" s="35"/>
      <c r="CB41" s="35"/>
      <c r="CC41" s="35"/>
      <c r="CD41" s="35">
        <f t="shared" si="8"/>
        <v>23462</v>
      </c>
      <c r="CE41" s="35">
        <f t="shared" si="9"/>
        <v>70386</v>
      </c>
      <c r="CF41" s="35"/>
      <c r="CG41" s="35"/>
      <c r="CH41" s="35"/>
      <c r="CI41" s="35">
        <f>23160+(1110*6)</f>
        <v>29820</v>
      </c>
      <c r="CJ41" s="35">
        <v>750</v>
      </c>
      <c r="CK41" s="35">
        <f>695+(33*6)</f>
        <v>893</v>
      </c>
      <c r="CL41" s="35"/>
      <c r="CM41" s="35"/>
      <c r="CN41" s="35"/>
      <c r="CO41" s="35"/>
      <c r="CP41" s="35"/>
      <c r="CQ41" s="35"/>
      <c r="CR41" s="35">
        <f t="shared" si="10"/>
        <v>31463</v>
      </c>
      <c r="CS41" s="35"/>
      <c r="CT41" s="35"/>
      <c r="CU41" s="35"/>
      <c r="CV41" s="35">
        <f>23160+730*6</f>
        <v>27540</v>
      </c>
      <c r="CW41" s="35">
        <v>750</v>
      </c>
      <c r="CX41" s="35">
        <f>695+22*6</f>
        <v>827</v>
      </c>
      <c r="CY41" s="35"/>
      <c r="CZ41" s="35"/>
      <c r="DA41" s="35"/>
      <c r="DB41" s="35"/>
      <c r="DC41" s="35"/>
      <c r="DD41" s="35"/>
      <c r="DE41" s="35">
        <f t="shared" si="3"/>
        <v>29117</v>
      </c>
      <c r="DF41" s="35"/>
      <c r="DG41" s="35"/>
      <c r="DH41" s="35"/>
      <c r="DI41" s="35">
        <v>23160</v>
      </c>
      <c r="DJ41" s="35">
        <v>750</v>
      </c>
      <c r="DK41" s="35">
        <v>695</v>
      </c>
      <c r="DL41" s="35"/>
      <c r="DM41" s="35"/>
      <c r="DN41" s="35"/>
      <c r="DO41" s="35"/>
      <c r="DP41" s="35"/>
      <c r="DQ41" s="35"/>
      <c r="DR41" s="35">
        <f t="shared" si="11"/>
        <v>24605</v>
      </c>
      <c r="DS41" s="35">
        <f t="shared" si="12"/>
        <v>85185</v>
      </c>
      <c r="DT41" s="35"/>
      <c r="DU41" s="35"/>
      <c r="DV41" s="35"/>
      <c r="DW41" s="35">
        <v>23890</v>
      </c>
      <c r="DX41" s="35">
        <v>750</v>
      </c>
      <c r="DY41" s="35">
        <v>717</v>
      </c>
      <c r="DZ41" s="35"/>
      <c r="EA41" s="35"/>
      <c r="EB41" s="35"/>
      <c r="EC41" s="35"/>
      <c r="ED41" s="35"/>
      <c r="EE41" s="35"/>
      <c r="EF41" s="35">
        <f t="shared" si="13"/>
        <v>25357</v>
      </c>
      <c r="EG41" s="35"/>
      <c r="EH41" s="35"/>
      <c r="EI41" s="35"/>
      <c r="EJ41" s="35">
        <v>23890</v>
      </c>
      <c r="EK41" s="35">
        <v>750</v>
      </c>
      <c r="EL41" s="35">
        <v>717</v>
      </c>
      <c r="EM41" s="35"/>
      <c r="EN41" s="35"/>
      <c r="EO41" s="35"/>
      <c r="EP41" s="35"/>
      <c r="EQ41" s="35"/>
      <c r="ER41" s="35"/>
      <c r="ES41" s="35">
        <f t="shared" si="4"/>
        <v>25357</v>
      </c>
      <c r="ET41" s="35"/>
      <c r="EU41" s="35"/>
      <c r="EV41" s="35"/>
      <c r="EW41" s="35">
        <v>23890</v>
      </c>
      <c r="EX41" s="35">
        <v>750</v>
      </c>
      <c r="EY41" s="35">
        <v>717</v>
      </c>
      <c r="EZ41" s="35"/>
      <c r="FA41" s="35"/>
      <c r="FB41" s="35"/>
      <c r="FC41" s="35"/>
      <c r="FD41" s="35"/>
      <c r="FE41" s="35"/>
      <c r="FF41" s="35">
        <f t="shared" si="14"/>
        <v>25357</v>
      </c>
      <c r="FG41" s="35">
        <f t="shared" si="15"/>
        <v>76071</v>
      </c>
      <c r="FH41" s="35">
        <f t="shared" si="16"/>
        <v>302028</v>
      </c>
    </row>
    <row r="42" spans="1:164" x14ac:dyDescent="0.35">
      <c r="A42" s="34"/>
      <c r="B42" s="40"/>
      <c r="C42" s="41" t="s">
        <v>148</v>
      </c>
      <c r="D42" s="35">
        <v>28650</v>
      </c>
      <c r="E42" s="35">
        <v>750</v>
      </c>
      <c r="F42" s="35">
        <v>0</v>
      </c>
      <c r="G42" s="35"/>
      <c r="H42" s="35"/>
      <c r="I42" s="35"/>
      <c r="J42" s="35"/>
      <c r="K42" s="35"/>
      <c r="L42" s="35"/>
      <c r="M42" s="35"/>
      <c r="N42" s="35"/>
      <c r="O42" s="35"/>
      <c r="P42" s="35">
        <f t="shared" si="5"/>
        <v>29400</v>
      </c>
      <c r="Q42" s="35">
        <v>28650</v>
      </c>
      <c r="R42" s="35">
        <v>750</v>
      </c>
      <c r="S42" s="35">
        <v>0</v>
      </c>
      <c r="T42" s="35"/>
      <c r="U42" s="35"/>
      <c r="V42" s="35"/>
      <c r="W42" s="35"/>
      <c r="X42" s="35"/>
      <c r="Y42" s="35"/>
      <c r="Z42" s="35"/>
      <c r="AA42" s="35"/>
      <c r="AB42" s="35"/>
      <c r="AC42" s="35">
        <f t="shared" si="168"/>
        <v>29400</v>
      </c>
      <c r="AD42" s="35">
        <v>28650</v>
      </c>
      <c r="AE42" s="35">
        <v>750</v>
      </c>
      <c r="AF42" s="35">
        <v>0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>
        <f t="shared" si="1"/>
        <v>29400</v>
      </c>
      <c r="AQ42" s="35">
        <f t="shared" si="169"/>
        <v>88200</v>
      </c>
      <c r="AR42" s="35">
        <v>28650</v>
      </c>
      <c r="AS42" s="35">
        <v>750</v>
      </c>
      <c r="AT42" s="35">
        <v>0</v>
      </c>
      <c r="AU42" s="35"/>
      <c r="AV42" s="35"/>
      <c r="AW42" s="35"/>
      <c r="AX42" s="35"/>
      <c r="AY42" s="35"/>
      <c r="AZ42" s="35"/>
      <c r="BA42" s="35"/>
      <c r="BB42" s="35"/>
      <c r="BC42" s="35"/>
      <c r="BD42" s="35">
        <f t="shared" si="6"/>
        <v>29400</v>
      </c>
      <c r="BE42" s="35">
        <v>28650</v>
      </c>
      <c r="BF42" s="35">
        <v>750</v>
      </c>
      <c r="BG42" s="35">
        <v>0</v>
      </c>
      <c r="BH42" s="35"/>
      <c r="BI42" s="35"/>
      <c r="BJ42" s="35"/>
      <c r="BK42" s="35"/>
      <c r="BL42" s="35"/>
      <c r="BM42" s="35"/>
      <c r="BN42" s="35"/>
      <c r="BO42" s="35"/>
      <c r="BP42" s="35"/>
      <c r="BQ42" s="35">
        <f t="shared" si="7"/>
        <v>29400</v>
      </c>
      <c r="BR42" s="35">
        <v>28650</v>
      </c>
      <c r="BS42" s="35">
        <v>750</v>
      </c>
      <c r="BT42" s="35">
        <v>0</v>
      </c>
      <c r="BU42" s="35"/>
      <c r="BV42" s="35"/>
      <c r="BW42" s="35"/>
      <c r="BX42" s="35"/>
      <c r="BY42" s="35"/>
      <c r="BZ42" s="35"/>
      <c r="CA42" s="35"/>
      <c r="CB42" s="35"/>
      <c r="CC42" s="35"/>
      <c r="CD42" s="35">
        <f t="shared" si="8"/>
        <v>29400</v>
      </c>
      <c r="CE42" s="35">
        <f t="shared" si="9"/>
        <v>88200</v>
      </c>
      <c r="CF42" s="35">
        <f>30090+(1440*6)</f>
        <v>38730</v>
      </c>
      <c r="CG42" s="35">
        <v>750</v>
      </c>
      <c r="CH42" s="35">
        <v>0</v>
      </c>
      <c r="CI42" s="35"/>
      <c r="CJ42" s="35"/>
      <c r="CK42" s="35"/>
      <c r="CL42" s="35"/>
      <c r="CM42" s="35"/>
      <c r="CN42" s="35"/>
      <c r="CO42" s="35"/>
      <c r="CP42" s="35"/>
      <c r="CQ42" s="35"/>
      <c r="CR42" s="35">
        <f t="shared" si="10"/>
        <v>39480</v>
      </c>
      <c r="CS42" s="35">
        <f>30090+2800*6</f>
        <v>46890</v>
      </c>
      <c r="CT42" s="35">
        <v>750</v>
      </c>
      <c r="CU42" s="35">
        <v>0</v>
      </c>
      <c r="CV42" s="35"/>
      <c r="CW42" s="35"/>
      <c r="CX42" s="35"/>
      <c r="CY42" s="35"/>
      <c r="CZ42" s="35"/>
      <c r="DA42" s="35"/>
      <c r="DB42" s="35"/>
      <c r="DC42" s="35"/>
      <c r="DD42" s="35"/>
      <c r="DE42" s="35">
        <f t="shared" si="3"/>
        <v>47640</v>
      </c>
      <c r="DF42" s="35">
        <v>30090</v>
      </c>
      <c r="DG42" s="35">
        <v>750</v>
      </c>
      <c r="DH42" s="35">
        <v>0</v>
      </c>
      <c r="DI42" s="35"/>
      <c r="DJ42" s="35"/>
      <c r="DK42" s="35"/>
      <c r="DL42" s="35"/>
      <c r="DM42" s="35"/>
      <c r="DN42" s="35"/>
      <c r="DO42" s="35"/>
      <c r="DP42" s="35"/>
      <c r="DQ42" s="35"/>
      <c r="DR42" s="35">
        <f t="shared" si="11"/>
        <v>30840</v>
      </c>
      <c r="DS42" s="35">
        <f t="shared" si="12"/>
        <v>117960</v>
      </c>
      <c r="DT42" s="35">
        <v>32890</v>
      </c>
      <c r="DU42" s="35">
        <v>750</v>
      </c>
      <c r="DV42" s="35">
        <v>0</v>
      </c>
      <c r="DW42" s="35"/>
      <c r="DX42" s="35"/>
      <c r="DY42" s="35"/>
      <c r="DZ42" s="35"/>
      <c r="EA42" s="35"/>
      <c r="EB42" s="35"/>
      <c r="EC42" s="35"/>
      <c r="ED42" s="35"/>
      <c r="EE42" s="35"/>
      <c r="EF42" s="35">
        <f t="shared" si="13"/>
        <v>33640</v>
      </c>
      <c r="EG42" s="35">
        <v>32890</v>
      </c>
      <c r="EH42" s="35">
        <v>750</v>
      </c>
      <c r="EI42" s="35">
        <v>0</v>
      </c>
      <c r="EJ42" s="35"/>
      <c r="EK42" s="35"/>
      <c r="EL42" s="35"/>
      <c r="EM42" s="35"/>
      <c r="EN42" s="35"/>
      <c r="EO42" s="35"/>
      <c r="EP42" s="35"/>
      <c r="EQ42" s="35"/>
      <c r="ER42" s="35"/>
      <c r="ES42" s="35">
        <f t="shared" si="4"/>
        <v>33640</v>
      </c>
      <c r="ET42" s="35">
        <v>32890</v>
      </c>
      <c r="EU42" s="35">
        <v>750</v>
      </c>
      <c r="EV42" s="35">
        <v>0</v>
      </c>
      <c r="EW42" s="35"/>
      <c r="EX42" s="35"/>
      <c r="EY42" s="35"/>
      <c r="EZ42" s="35"/>
      <c r="FA42" s="35"/>
      <c r="FB42" s="35"/>
      <c r="FC42" s="35"/>
      <c r="FD42" s="35"/>
      <c r="FE42" s="35"/>
      <c r="FF42" s="35">
        <f t="shared" si="14"/>
        <v>33640</v>
      </c>
      <c r="FG42" s="35">
        <f t="shared" si="15"/>
        <v>100920</v>
      </c>
      <c r="FH42" s="35">
        <f t="shared" si="16"/>
        <v>395280</v>
      </c>
    </row>
    <row r="43" spans="1:164" x14ac:dyDescent="0.35">
      <c r="A43" s="34"/>
      <c r="B43" s="40"/>
      <c r="C43" s="41" t="s">
        <v>149</v>
      </c>
      <c r="D43" s="35">
        <v>28410</v>
      </c>
      <c r="E43" s="35">
        <v>750</v>
      </c>
      <c r="F43" s="35">
        <v>852</v>
      </c>
      <c r="G43" s="35"/>
      <c r="H43" s="35"/>
      <c r="I43" s="35"/>
      <c r="J43" s="35"/>
      <c r="K43" s="35"/>
      <c r="L43" s="35"/>
      <c r="M43" s="35"/>
      <c r="N43" s="35"/>
      <c r="O43" s="35"/>
      <c r="P43" s="35">
        <f t="shared" si="5"/>
        <v>30012</v>
      </c>
      <c r="Q43" s="35">
        <v>28410</v>
      </c>
      <c r="R43" s="35">
        <v>750</v>
      </c>
      <c r="S43" s="35">
        <v>852</v>
      </c>
      <c r="T43" s="35"/>
      <c r="U43" s="35"/>
      <c r="V43" s="35"/>
      <c r="W43" s="35"/>
      <c r="X43" s="35"/>
      <c r="Y43" s="35"/>
      <c r="Z43" s="35"/>
      <c r="AA43" s="35"/>
      <c r="AB43" s="35"/>
      <c r="AC43" s="35">
        <f t="shared" si="168"/>
        <v>30012</v>
      </c>
      <c r="AD43" s="35">
        <v>28410</v>
      </c>
      <c r="AE43" s="35">
        <v>750</v>
      </c>
      <c r="AF43" s="35">
        <v>852</v>
      </c>
      <c r="AG43" s="35"/>
      <c r="AH43" s="35"/>
      <c r="AI43" s="35"/>
      <c r="AJ43" s="35"/>
      <c r="AK43" s="35"/>
      <c r="AL43" s="35"/>
      <c r="AM43" s="35"/>
      <c r="AN43" s="35"/>
      <c r="AO43" s="35"/>
      <c r="AP43" s="35">
        <f t="shared" si="1"/>
        <v>30012</v>
      </c>
      <c r="AQ43" s="35">
        <f t="shared" si="169"/>
        <v>90036</v>
      </c>
      <c r="AR43" s="35">
        <v>28410</v>
      </c>
      <c r="AS43" s="35">
        <v>750</v>
      </c>
      <c r="AT43" s="35">
        <v>852</v>
      </c>
      <c r="AU43" s="35"/>
      <c r="AV43" s="35"/>
      <c r="AW43" s="35"/>
      <c r="AX43" s="35"/>
      <c r="AY43" s="35"/>
      <c r="AZ43" s="35"/>
      <c r="BA43" s="35"/>
      <c r="BB43" s="35"/>
      <c r="BC43" s="35"/>
      <c r="BD43" s="35">
        <f t="shared" si="6"/>
        <v>30012</v>
      </c>
      <c r="BE43" s="35">
        <v>28410</v>
      </c>
      <c r="BF43" s="35">
        <v>750</v>
      </c>
      <c r="BG43" s="35">
        <v>852</v>
      </c>
      <c r="BH43" s="35"/>
      <c r="BI43" s="35"/>
      <c r="BJ43" s="35"/>
      <c r="BK43" s="35"/>
      <c r="BL43" s="35"/>
      <c r="BM43" s="35"/>
      <c r="BN43" s="35"/>
      <c r="BO43" s="35"/>
      <c r="BP43" s="35"/>
      <c r="BQ43" s="35">
        <f t="shared" si="7"/>
        <v>30012</v>
      </c>
      <c r="BR43" s="35">
        <v>28410</v>
      </c>
      <c r="BS43" s="35">
        <v>750</v>
      </c>
      <c r="BT43" s="35">
        <v>852</v>
      </c>
      <c r="BU43" s="35"/>
      <c r="BV43" s="35"/>
      <c r="BW43" s="35"/>
      <c r="BX43" s="35"/>
      <c r="BY43" s="35"/>
      <c r="BZ43" s="35"/>
      <c r="CA43" s="35"/>
      <c r="CB43" s="35"/>
      <c r="CC43" s="35"/>
      <c r="CD43" s="35">
        <f t="shared" si="8"/>
        <v>30012</v>
      </c>
      <c r="CE43" s="35">
        <f t="shared" si="9"/>
        <v>90036</v>
      </c>
      <c r="CF43" s="35">
        <v>28410</v>
      </c>
      <c r="CG43" s="35">
        <v>750</v>
      </c>
      <c r="CH43" s="35">
        <v>852</v>
      </c>
      <c r="CI43" s="35"/>
      <c r="CJ43" s="35"/>
      <c r="CK43" s="35"/>
      <c r="CL43" s="35"/>
      <c r="CM43" s="35"/>
      <c r="CN43" s="35"/>
      <c r="CO43" s="35"/>
      <c r="CP43" s="35"/>
      <c r="CQ43" s="35"/>
      <c r="CR43" s="35">
        <f t="shared" si="10"/>
        <v>30012</v>
      </c>
      <c r="CS43" s="35">
        <f>28410+2800*6</f>
        <v>45210</v>
      </c>
      <c r="CT43" s="35">
        <v>750</v>
      </c>
      <c r="CU43" s="35">
        <f>852+84*6</f>
        <v>1356</v>
      </c>
      <c r="CV43" s="35"/>
      <c r="CW43" s="35"/>
      <c r="CX43" s="35"/>
      <c r="CY43" s="35"/>
      <c r="CZ43" s="35"/>
      <c r="DA43" s="35"/>
      <c r="DB43" s="35"/>
      <c r="DC43" s="35"/>
      <c r="DD43" s="35"/>
      <c r="DE43" s="35">
        <f t="shared" si="3"/>
        <v>47316</v>
      </c>
      <c r="DF43" s="35">
        <v>28410</v>
      </c>
      <c r="DG43" s="35">
        <v>750</v>
      </c>
      <c r="DH43" s="35">
        <v>852</v>
      </c>
      <c r="DI43" s="35"/>
      <c r="DJ43" s="35"/>
      <c r="DK43" s="35"/>
      <c r="DL43" s="35"/>
      <c r="DM43" s="35"/>
      <c r="DN43" s="35"/>
      <c r="DO43" s="35"/>
      <c r="DP43" s="35"/>
      <c r="DQ43" s="35"/>
      <c r="DR43" s="35">
        <f t="shared" si="11"/>
        <v>30012</v>
      </c>
      <c r="DS43" s="35">
        <f t="shared" si="12"/>
        <v>107340</v>
      </c>
      <c r="DT43" s="35">
        <v>31210</v>
      </c>
      <c r="DU43" s="35">
        <v>750</v>
      </c>
      <c r="DV43" s="35">
        <v>936</v>
      </c>
      <c r="DW43" s="35"/>
      <c r="DX43" s="35"/>
      <c r="DY43" s="35"/>
      <c r="DZ43" s="35"/>
      <c r="EA43" s="35"/>
      <c r="EB43" s="35"/>
      <c r="EC43" s="35"/>
      <c r="ED43" s="35"/>
      <c r="EE43" s="35"/>
      <c r="EF43" s="35">
        <f t="shared" si="13"/>
        <v>32896</v>
      </c>
      <c r="EG43" s="35">
        <v>31210</v>
      </c>
      <c r="EH43" s="35">
        <v>750</v>
      </c>
      <c r="EI43" s="35">
        <v>936</v>
      </c>
      <c r="EJ43" s="35"/>
      <c r="EK43" s="35"/>
      <c r="EL43" s="35"/>
      <c r="EM43" s="35"/>
      <c r="EN43" s="35"/>
      <c r="EO43" s="35"/>
      <c r="EP43" s="35"/>
      <c r="EQ43" s="35"/>
      <c r="ER43" s="35"/>
      <c r="ES43" s="35">
        <f t="shared" si="4"/>
        <v>32896</v>
      </c>
      <c r="ET43" s="35">
        <v>31210</v>
      </c>
      <c r="EU43" s="35">
        <v>750</v>
      </c>
      <c r="EV43" s="35">
        <v>936</v>
      </c>
      <c r="EW43" s="35"/>
      <c r="EX43" s="35"/>
      <c r="EY43" s="35"/>
      <c r="EZ43" s="35"/>
      <c r="FA43" s="35"/>
      <c r="FB43" s="35"/>
      <c r="FC43" s="35"/>
      <c r="FD43" s="35"/>
      <c r="FE43" s="35"/>
      <c r="FF43" s="35">
        <f t="shared" si="14"/>
        <v>32896</v>
      </c>
      <c r="FG43" s="35">
        <f t="shared" si="15"/>
        <v>98688</v>
      </c>
      <c r="FH43" s="35">
        <f t="shared" si="16"/>
        <v>386100</v>
      </c>
    </row>
    <row r="44" spans="1:164" x14ac:dyDescent="0.35">
      <c r="A44" s="34"/>
      <c r="B44" s="40"/>
      <c r="C44" s="41" t="s">
        <v>150</v>
      </c>
      <c r="D44" s="35">
        <v>28410</v>
      </c>
      <c r="E44" s="35">
        <v>750</v>
      </c>
      <c r="F44" s="35"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>
        <f t="shared" si="5"/>
        <v>29160</v>
      </c>
      <c r="Q44" s="35">
        <v>28410</v>
      </c>
      <c r="R44" s="35">
        <v>750</v>
      </c>
      <c r="S44" s="35">
        <v>0</v>
      </c>
      <c r="T44" s="35"/>
      <c r="U44" s="35"/>
      <c r="V44" s="35"/>
      <c r="W44" s="35"/>
      <c r="X44" s="35"/>
      <c r="Y44" s="35"/>
      <c r="Z44" s="35"/>
      <c r="AA44" s="35"/>
      <c r="AB44" s="35"/>
      <c r="AC44" s="35">
        <f t="shared" si="168"/>
        <v>29160</v>
      </c>
      <c r="AD44" s="35">
        <v>28410</v>
      </c>
      <c r="AE44" s="35">
        <v>750</v>
      </c>
      <c r="AF44" s="35">
        <v>0</v>
      </c>
      <c r="AG44" s="35"/>
      <c r="AH44" s="35"/>
      <c r="AI44" s="35"/>
      <c r="AJ44" s="35"/>
      <c r="AK44" s="35"/>
      <c r="AL44" s="35"/>
      <c r="AM44" s="35"/>
      <c r="AN44" s="35"/>
      <c r="AO44" s="35"/>
      <c r="AP44" s="35">
        <f t="shared" si="1"/>
        <v>29160</v>
      </c>
      <c r="AQ44" s="35">
        <f t="shared" si="169"/>
        <v>87480</v>
      </c>
      <c r="AR44" s="35">
        <v>28410</v>
      </c>
      <c r="AS44" s="35">
        <v>750</v>
      </c>
      <c r="AT44" s="35">
        <v>0</v>
      </c>
      <c r="AU44" s="35"/>
      <c r="AV44" s="35"/>
      <c r="AW44" s="35"/>
      <c r="AX44" s="35"/>
      <c r="AY44" s="35"/>
      <c r="AZ44" s="35"/>
      <c r="BA44" s="35"/>
      <c r="BB44" s="35"/>
      <c r="BC44" s="35"/>
      <c r="BD44" s="35">
        <f t="shared" si="6"/>
        <v>29160</v>
      </c>
      <c r="BE44" s="35">
        <v>28410</v>
      </c>
      <c r="BF44" s="35">
        <v>750</v>
      </c>
      <c r="BG44" s="35">
        <v>0</v>
      </c>
      <c r="BH44" s="35"/>
      <c r="BI44" s="35"/>
      <c r="BJ44" s="35"/>
      <c r="BK44" s="35"/>
      <c r="BL44" s="35"/>
      <c r="BM44" s="35"/>
      <c r="BN44" s="35"/>
      <c r="BO44" s="35"/>
      <c r="BP44" s="35"/>
      <c r="BQ44" s="35">
        <f t="shared" si="7"/>
        <v>29160</v>
      </c>
      <c r="BR44" s="35">
        <v>28410</v>
      </c>
      <c r="BS44" s="35">
        <v>750</v>
      </c>
      <c r="BT44" s="35">
        <v>0</v>
      </c>
      <c r="BU44" s="35"/>
      <c r="BV44" s="35"/>
      <c r="BW44" s="35"/>
      <c r="BX44" s="35"/>
      <c r="BY44" s="35"/>
      <c r="BZ44" s="35"/>
      <c r="CA44" s="35"/>
      <c r="CB44" s="35"/>
      <c r="CC44" s="35"/>
      <c r="CD44" s="35">
        <f t="shared" si="8"/>
        <v>29160</v>
      </c>
      <c r="CE44" s="35">
        <f t="shared" si="9"/>
        <v>87480</v>
      </c>
      <c r="CF44" s="35">
        <f>29800+(1390*6)</f>
        <v>38140</v>
      </c>
      <c r="CG44" s="35">
        <v>750</v>
      </c>
      <c r="CH44" s="35">
        <v>0</v>
      </c>
      <c r="CI44" s="35"/>
      <c r="CJ44" s="35"/>
      <c r="CK44" s="35"/>
      <c r="CL44" s="35"/>
      <c r="CM44" s="35"/>
      <c r="CN44" s="35"/>
      <c r="CO44" s="35"/>
      <c r="CP44" s="35"/>
      <c r="CQ44" s="35"/>
      <c r="CR44" s="35">
        <f t="shared" si="10"/>
        <v>38890</v>
      </c>
      <c r="CS44" s="35">
        <f>29800+2800*6</f>
        <v>46600</v>
      </c>
      <c r="CT44" s="35">
        <v>750</v>
      </c>
      <c r="CU44" s="35">
        <v>0</v>
      </c>
      <c r="CV44" s="35"/>
      <c r="CW44" s="35"/>
      <c r="CX44" s="35"/>
      <c r="CY44" s="35"/>
      <c r="CZ44" s="35"/>
      <c r="DA44" s="35"/>
      <c r="DB44" s="35"/>
      <c r="DC44" s="35"/>
      <c r="DD44" s="35"/>
      <c r="DE44" s="35">
        <f t="shared" si="3"/>
        <v>47350</v>
      </c>
      <c r="DF44" s="35">
        <v>29800</v>
      </c>
      <c r="DG44" s="35">
        <v>750</v>
      </c>
      <c r="DH44" s="35">
        <v>0</v>
      </c>
      <c r="DI44" s="35"/>
      <c r="DJ44" s="35"/>
      <c r="DK44" s="35"/>
      <c r="DL44" s="35"/>
      <c r="DM44" s="35"/>
      <c r="DN44" s="35"/>
      <c r="DO44" s="35"/>
      <c r="DP44" s="35"/>
      <c r="DQ44" s="35"/>
      <c r="DR44" s="35">
        <f t="shared" si="11"/>
        <v>30550</v>
      </c>
      <c r="DS44" s="35">
        <f t="shared" si="12"/>
        <v>116790</v>
      </c>
      <c r="DT44" s="35">
        <v>32600</v>
      </c>
      <c r="DU44" s="35">
        <v>750</v>
      </c>
      <c r="DV44" s="35">
        <v>0</v>
      </c>
      <c r="DW44" s="35"/>
      <c r="DX44" s="35"/>
      <c r="DY44" s="35"/>
      <c r="DZ44" s="35"/>
      <c r="EA44" s="35"/>
      <c r="EB44" s="35"/>
      <c r="EC44" s="35"/>
      <c r="ED44" s="35"/>
      <c r="EE44" s="35"/>
      <c r="EF44" s="35">
        <f t="shared" si="13"/>
        <v>33350</v>
      </c>
      <c r="EG44" s="35">
        <v>32600</v>
      </c>
      <c r="EH44" s="35">
        <v>750</v>
      </c>
      <c r="EI44" s="35">
        <v>0</v>
      </c>
      <c r="EJ44" s="35"/>
      <c r="EK44" s="35"/>
      <c r="EL44" s="35"/>
      <c r="EM44" s="35"/>
      <c r="EN44" s="35"/>
      <c r="EO44" s="35"/>
      <c r="EP44" s="35"/>
      <c r="EQ44" s="35"/>
      <c r="ER44" s="35"/>
      <c r="ES44" s="35">
        <f t="shared" si="4"/>
        <v>33350</v>
      </c>
      <c r="ET44" s="35">
        <v>32600</v>
      </c>
      <c r="EU44" s="35">
        <v>750</v>
      </c>
      <c r="EV44" s="35">
        <v>0</v>
      </c>
      <c r="EW44" s="35"/>
      <c r="EX44" s="35"/>
      <c r="EY44" s="35"/>
      <c r="EZ44" s="35"/>
      <c r="FA44" s="35"/>
      <c r="FB44" s="35"/>
      <c r="FC44" s="35"/>
      <c r="FD44" s="35"/>
      <c r="FE44" s="35"/>
      <c r="FF44" s="35">
        <f t="shared" si="14"/>
        <v>33350</v>
      </c>
      <c r="FG44" s="35">
        <f t="shared" si="15"/>
        <v>100050</v>
      </c>
      <c r="FH44" s="35">
        <f t="shared" si="16"/>
        <v>391800</v>
      </c>
    </row>
    <row r="45" spans="1:164" x14ac:dyDescent="0.35">
      <c r="A45" s="34"/>
      <c r="B45" s="40"/>
      <c r="C45" s="41" t="s">
        <v>151</v>
      </c>
      <c r="D45" s="35">
        <v>28410</v>
      </c>
      <c r="E45" s="35">
        <v>750</v>
      </c>
      <c r="F45" s="35">
        <v>852</v>
      </c>
      <c r="G45" s="35"/>
      <c r="H45" s="35"/>
      <c r="I45" s="35"/>
      <c r="J45" s="35"/>
      <c r="K45" s="35"/>
      <c r="L45" s="35"/>
      <c r="M45" s="35"/>
      <c r="N45" s="35"/>
      <c r="O45" s="35"/>
      <c r="P45" s="35">
        <f t="shared" si="5"/>
        <v>30012</v>
      </c>
      <c r="Q45" s="35">
        <v>28410</v>
      </c>
      <c r="R45" s="35">
        <v>750</v>
      </c>
      <c r="S45" s="35">
        <v>852</v>
      </c>
      <c r="T45" s="35"/>
      <c r="U45" s="35"/>
      <c r="V45" s="35"/>
      <c r="W45" s="35"/>
      <c r="X45" s="35"/>
      <c r="Y45" s="35"/>
      <c r="Z45" s="35"/>
      <c r="AA45" s="35"/>
      <c r="AB45" s="35"/>
      <c r="AC45" s="35">
        <f t="shared" si="168"/>
        <v>30012</v>
      </c>
      <c r="AD45" s="35">
        <v>28410</v>
      </c>
      <c r="AE45" s="35">
        <v>750</v>
      </c>
      <c r="AF45" s="35">
        <v>852</v>
      </c>
      <c r="AG45" s="35"/>
      <c r="AH45" s="35"/>
      <c r="AI45" s="35"/>
      <c r="AJ45" s="35"/>
      <c r="AK45" s="35"/>
      <c r="AL45" s="35"/>
      <c r="AM45" s="35"/>
      <c r="AN45" s="35"/>
      <c r="AO45" s="35"/>
      <c r="AP45" s="35">
        <f t="shared" si="1"/>
        <v>30012</v>
      </c>
      <c r="AQ45" s="35">
        <f t="shared" si="169"/>
        <v>90036</v>
      </c>
      <c r="AR45" s="35">
        <v>28410</v>
      </c>
      <c r="AS45" s="35">
        <v>750</v>
      </c>
      <c r="AT45" s="35">
        <v>852</v>
      </c>
      <c r="AU45" s="35"/>
      <c r="AV45" s="35"/>
      <c r="AW45" s="35"/>
      <c r="AX45" s="35"/>
      <c r="AY45" s="35"/>
      <c r="AZ45" s="35"/>
      <c r="BA45" s="35"/>
      <c r="BB45" s="35"/>
      <c r="BC45" s="35"/>
      <c r="BD45" s="35">
        <f t="shared" si="6"/>
        <v>30012</v>
      </c>
      <c r="BE45" s="35">
        <v>28410</v>
      </c>
      <c r="BF45" s="35">
        <v>750</v>
      </c>
      <c r="BG45" s="35">
        <v>852</v>
      </c>
      <c r="BH45" s="35"/>
      <c r="BI45" s="35"/>
      <c r="BJ45" s="35"/>
      <c r="BK45" s="35"/>
      <c r="BL45" s="35"/>
      <c r="BM45" s="35"/>
      <c r="BN45" s="35"/>
      <c r="BO45" s="35"/>
      <c r="BP45" s="35"/>
      <c r="BQ45" s="35">
        <f t="shared" si="7"/>
        <v>30012</v>
      </c>
      <c r="BR45" s="35">
        <v>28410</v>
      </c>
      <c r="BS45" s="35">
        <v>750</v>
      </c>
      <c r="BT45" s="35">
        <v>852</v>
      </c>
      <c r="BU45" s="35"/>
      <c r="BV45" s="35"/>
      <c r="BW45" s="35"/>
      <c r="BX45" s="35"/>
      <c r="BY45" s="35"/>
      <c r="BZ45" s="35"/>
      <c r="CA45" s="35"/>
      <c r="CB45" s="35"/>
      <c r="CC45" s="35"/>
      <c r="CD45" s="35">
        <f t="shared" si="8"/>
        <v>30012</v>
      </c>
      <c r="CE45" s="35">
        <f t="shared" si="9"/>
        <v>90036</v>
      </c>
      <c r="CF45" s="35">
        <f>29840+(1430*6)</f>
        <v>38420</v>
      </c>
      <c r="CG45" s="35">
        <v>750</v>
      </c>
      <c r="CH45" s="35">
        <f>895+(43*6)</f>
        <v>1153</v>
      </c>
      <c r="CI45" s="35"/>
      <c r="CJ45" s="35"/>
      <c r="CK45" s="35"/>
      <c r="CL45" s="35"/>
      <c r="CM45" s="35"/>
      <c r="CN45" s="35"/>
      <c r="CO45" s="35"/>
      <c r="CP45" s="35"/>
      <c r="CQ45" s="35"/>
      <c r="CR45" s="35">
        <f t="shared" si="10"/>
        <v>40323</v>
      </c>
      <c r="CS45" s="35">
        <f>29840+2800*6</f>
        <v>46640</v>
      </c>
      <c r="CT45" s="35">
        <v>750</v>
      </c>
      <c r="CU45" s="35">
        <f>895+84*6</f>
        <v>1399</v>
      </c>
      <c r="CV45" s="35"/>
      <c r="CW45" s="35"/>
      <c r="CX45" s="35"/>
      <c r="CY45" s="35"/>
      <c r="CZ45" s="35"/>
      <c r="DA45" s="35"/>
      <c r="DB45" s="35"/>
      <c r="DC45" s="35"/>
      <c r="DD45" s="35"/>
      <c r="DE45" s="35">
        <f t="shared" si="3"/>
        <v>48789</v>
      </c>
      <c r="DF45" s="35">
        <v>29840</v>
      </c>
      <c r="DG45" s="35">
        <v>750</v>
      </c>
      <c r="DH45" s="35">
        <v>895</v>
      </c>
      <c r="DI45" s="35"/>
      <c r="DJ45" s="35"/>
      <c r="DK45" s="35"/>
      <c r="DL45" s="35"/>
      <c r="DM45" s="35"/>
      <c r="DN45" s="35"/>
      <c r="DO45" s="35"/>
      <c r="DP45" s="35"/>
      <c r="DQ45" s="35"/>
      <c r="DR45" s="35">
        <f t="shared" si="11"/>
        <v>31485</v>
      </c>
      <c r="DS45" s="35">
        <f t="shared" si="12"/>
        <v>120597</v>
      </c>
      <c r="DT45" s="35">
        <v>32640</v>
      </c>
      <c r="DU45" s="35">
        <v>750</v>
      </c>
      <c r="DV45" s="35">
        <v>979</v>
      </c>
      <c r="DW45" s="35"/>
      <c r="DX45" s="35"/>
      <c r="DY45" s="35"/>
      <c r="DZ45" s="35"/>
      <c r="EA45" s="35"/>
      <c r="EB45" s="35"/>
      <c r="EC45" s="35"/>
      <c r="ED45" s="35"/>
      <c r="EE45" s="35"/>
      <c r="EF45" s="35">
        <f t="shared" si="13"/>
        <v>34369</v>
      </c>
      <c r="EG45" s="35">
        <v>32640</v>
      </c>
      <c r="EH45" s="35">
        <v>750</v>
      </c>
      <c r="EI45" s="35">
        <v>979</v>
      </c>
      <c r="EJ45" s="35"/>
      <c r="EK45" s="35"/>
      <c r="EL45" s="35"/>
      <c r="EM45" s="35"/>
      <c r="EN45" s="35"/>
      <c r="EO45" s="35"/>
      <c r="EP45" s="35"/>
      <c r="EQ45" s="35"/>
      <c r="ER45" s="35"/>
      <c r="ES45" s="35">
        <f t="shared" si="4"/>
        <v>34369</v>
      </c>
      <c r="ET45" s="35">
        <v>32640</v>
      </c>
      <c r="EU45" s="35">
        <v>750</v>
      </c>
      <c r="EV45" s="35">
        <v>979</v>
      </c>
      <c r="EW45" s="35"/>
      <c r="EX45" s="35"/>
      <c r="EY45" s="35"/>
      <c r="EZ45" s="35"/>
      <c r="FA45" s="35"/>
      <c r="FB45" s="35"/>
      <c r="FC45" s="35"/>
      <c r="FD45" s="35"/>
      <c r="FE45" s="35"/>
      <c r="FF45" s="35">
        <f t="shared" si="14"/>
        <v>34369</v>
      </c>
      <c r="FG45" s="35">
        <f t="shared" si="15"/>
        <v>103107</v>
      </c>
      <c r="FH45" s="35">
        <f t="shared" si="16"/>
        <v>403776</v>
      </c>
    </row>
    <row r="46" spans="1:164" x14ac:dyDescent="0.35">
      <c r="A46" s="34"/>
      <c r="B46" s="40"/>
      <c r="C46" s="41" t="s">
        <v>152</v>
      </c>
      <c r="D46" s="35">
        <v>28410</v>
      </c>
      <c r="E46" s="35">
        <v>750</v>
      </c>
      <c r="F46" s="35">
        <v>852</v>
      </c>
      <c r="G46" s="35"/>
      <c r="H46" s="35"/>
      <c r="I46" s="35"/>
      <c r="J46" s="35"/>
      <c r="K46" s="35"/>
      <c r="L46" s="35"/>
      <c r="M46" s="35"/>
      <c r="N46" s="35"/>
      <c r="O46" s="35"/>
      <c r="P46" s="35">
        <f t="shared" si="5"/>
        <v>30012</v>
      </c>
      <c r="Q46" s="35">
        <v>28410</v>
      </c>
      <c r="R46" s="35">
        <v>750</v>
      </c>
      <c r="S46" s="35">
        <v>852</v>
      </c>
      <c r="T46" s="35"/>
      <c r="U46" s="35"/>
      <c r="V46" s="35"/>
      <c r="W46" s="35"/>
      <c r="X46" s="35"/>
      <c r="Y46" s="35"/>
      <c r="Z46" s="35"/>
      <c r="AA46" s="35"/>
      <c r="AB46" s="35"/>
      <c r="AC46" s="35">
        <f t="shared" si="168"/>
        <v>30012</v>
      </c>
      <c r="AD46" s="35">
        <v>28410</v>
      </c>
      <c r="AE46" s="35">
        <v>750</v>
      </c>
      <c r="AF46" s="35">
        <v>852</v>
      </c>
      <c r="AG46" s="35"/>
      <c r="AH46" s="35"/>
      <c r="AI46" s="35"/>
      <c r="AJ46" s="35"/>
      <c r="AK46" s="35"/>
      <c r="AL46" s="35"/>
      <c r="AM46" s="35"/>
      <c r="AN46" s="35"/>
      <c r="AO46" s="35"/>
      <c r="AP46" s="35">
        <f t="shared" si="1"/>
        <v>30012</v>
      </c>
      <c r="AQ46" s="35">
        <f t="shared" si="169"/>
        <v>90036</v>
      </c>
      <c r="AR46" s="35">
        <v>28410</v>
      </c>
      <c r="AS46" s="35">
        <v>750</v>
      </c>
      <c r="AT46" s="35">
        <v>852</v>
      </c>
      <c r="AU46" s="35"/>
      <c r="AV46" s="35"/>
      <c r="AW46" s="35"/>
      <c r="AX46" s="35"/>
      <c r="AY46" s="35"/>
      <c r="AZ46" s="35"/>
      <c r="BA46" s="35"/>
      <c r="BB46" s="35"/>
      <c r="BC46" s="35"/>
      <c r="BD46" s="35">
        <f t="shared" si="6"/>
        <v>30012</v>
      </c>
      <c r="BE46" s="35">
        <v>28410</v>
      </c>
      <c r="BF46" s="35">
        <v>750</v>
      </c>
      <c r="BG46" s="35">
        <v>852</v>
      </c>
      <c r="BH46" s="35"/>
      <c r="BI46" s="35"/>
      <c r="BJ46" s="35"/>
      <c r="BK46" s="35"/>
      <c r="BL46" s="35"/>
      <c r="BM46" s="35"/>
      <c r="BN46" s="35"/>
      <c r="BO46" s="35"/>
      <c r="BP46" s="35"/>
      <c r="BQ46" s="35">
        <f t="shared" si="7"/>
        <v>30012</v>
      </c>
      <c r="BR46" s="35">
        <v>28410</v>
      </c>
      <c r="BS46" s="35">
        <v>750</v>
      </c>
      <c r="BT46" s="35">
        <v>852</v>
      </c>
      <c r="BU46" s="35"/>
      <c r="BV46" s="35"/>
      <c r="BW46" s="35"/>
      <c r="BX46" s="35"/>
      <c r="BY46" s="35"/>
      <c r="BZ46" s="35"/>
      <c r="CA46" s="35"/>
      <c r="CB46" s="35"/>
      <c r="CC46" s="35"/>
      <c r="CD46" s="35">
        <f t="shared" si="8"/>
        <v>30012</v>
      </c>
      <c r="CE46" s="35">
        <f t="shared" si="9"/>
        <v>90036</v>
      </c>
      <c r="CF46" s="35">
        <f>29840+(1430*6)</f>
        <v>38420</v>
      </c>
      <c r="CG46" s="35">
        <v>750</v>
      </c>
      <c r="CH46" s="35">
        <f>895+(43*6)</f>
        <v>1153</v>
      </c>
      <c r="CI46" s="35"/>
      <c r="CJ46" s="35"/>
      <c r="CK46" s="35"/>
      <c r="CL46" s="35"/>
      <c r="CM46" s="35"/>
      <c r="CN46" s="35"/>
      <c r="CO46" s="35"/>
      <c r="CP46" s="35"/>
      <c r="CQ46" s="35"/>
      <c r="CR46" s="35">
        <f t="shared" si="10"/>
        <v>40323</v>
      </c>
      <c r="CS46" s="35">
        <f>29840+2800*6</f>
        <v>46640</v>
      </c>
      <c r="CT46" s="35">
        <v>750</v>
      </c>
      <c r="CU46" s="35">
        <f>895+84*6</f>
        <v>1399</v>
      </c>
      <c r="CV46" s="35"/>
      <c r="CW46" s="35"/>
      <c r="CX46" s="35"/>
      <c r="CY46" s="35"/>
      <c r="CZ46" s="35"/>
      <c r="DA46" s="35"/>
      <c r="DB46" s="35"/>
      <c r="DC46" s="35"/>
      <c r="DD46" s="35"/>
      <c r="DE46" s="35">
        <f t="shared" si="3"/>
        <v>48789</v>
      </c>
      <c r="DF46" s="35">
        <v>29840</v>
      </c>
      <c r="DG46" s="35">
        <v>750</v>
      </c>
      <c r="DH46" s="35">
        <v>895</v>
      </c>
      <c r="DI46" s="35"/>
      <c r="DJ46" s="35"/>
      <c r="DK46" s="35"/>
      <c r="DL46" s="35"/>
      <c r="DM46" s="35"/>
      <c r="DN46" s="35"/>
      <c r="DO46" s="35"/>
      <c r="DP46" s="35"/>
      <c r="DQ46" s="35"/>
      <c r="DR46" s="35">
        <f t="shared" si="11"/>
        <v>31485</v>
      </c>
      <c r="DS46" s="35">
        <f t="shared" si="12"/>
        <v>120597</v>
      </c>
      <c r="DT46" s="35">
        <v>32640</v>
      </c>
      <c r="DU46" s="35">
        <v>750</v>
      </c>
      <c r="DV46" s="35">
        <v>979</v>
      </c>
      <c r="DW46" s="35"/>
      <c r="DX46" s="35"/>
      <c r="DY46" s="35"/>
      <c r="DZ46" s="35"/>
      <c r="EA46" s="35"/>
      <c r="EB46" s="35"/>
      <c r="EC46" s="35"/>
      <c r="ED46" s="35"/>
      <c r="EE46" s="35"/>
      <c r="EF46" s="35">
        <f t="shared" si="13"/>
        <v>34369</v>
      </c>
      <c r="EG46" s="35">
        <v>32640</v>
      </c>
      <c r="EH46" s="35">
        <v>750</v>
      </c>
      <c r="EI46" s="35">
        <v>979</v>
      </c>
      <c r="EJ46" s="35"/>
      <c r="EK46" s="35"/>
      <c r="EL46" s="35"/>
      <c r="EM46" s="35"/>
      <c r="EN46" s="35"/>
      <c r="EO46" s="35"/>
      <c r="EP46" s="35"/>
      <c r="EQ46" s="35"/>
      <c r="ER46" s="35"/>
      <c r="ES46" s="35">
        <f t="shared" si="4"/>
        <v>34369</v>
      </c>
      <c r="ET46" s="35">
        <v>32640</v>
      </c>
      <c r="EU46" s="35">
        <v>750</v>
      </c>
      <c r="EV46" s="35">
        <v>979</v>
      </c>
      <c r="EW46" s="35"/>
      <c r="EX46" s="35"/>
      <c r="EY46" s="35"/>
      <c r="EZ46" s="35"/>
      <c r="FA46" s="35"/>
      <c r="FB46" s="35"/>
      <c r="FC46" s="35"/>
      <c r="FD46" s="35"/>
      <c r="FE46" s="35"/>
      <c r="FF46" s="35">
        <f t="shared" si="14"/>
        <v>34369</v>
      </c>
      <c r="FG46" s="35">
        <f t="shared" si="15"/>
        <v>103107</v>
      </c>
      <c r="FH46" s="35">
        <f t="shared" si="16"/>
        <v>403776</v>
      </c>
    </row>
    <row r="47" spans="1:164" x14ac:dyDescent="0.35">
      <c r="A47" s="34"/>
      <c r="B47" s="40"/>
      <c r="C47" s="41" t="s">
        <v>153</v>
      </c>
      <c r="D47" s="35">
        <v>26790</v>
      </c>
      <c r="E47" s="35">
        <v>750</v>
      </c>
      <c r="F47" s="35"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>
        <f t="shared" si="5"/>
        <v>27540</v>
      </c>
      <c r="Q47" s="35">
        <v>26790</v>
      </c>
      <c r="R47" s="35">
        <v>750</v>
      </c>
      <c r="S47" s="35">
        <v>0</v>
      </c>
      <c r="T47" s="35"/>
      <c r="U47" s="35"/>
      <c r="V47" s="35"/>
      <c r="W47" s="35"/>
      <c r="X47" s="35"/>
      <c r="Y47" s="35"/>
      <c r="Z47" s="35"/>
      <c r="AA47" s="35"/>
      <c r="AB47" s="35"/>
      <c r="AC47" s="35">
        <f t="shared" si="168"/>
        <v>27540</v>
      </c>
      <c r="AD47" s="35">
        <v>26790</v>
      </c>
      <c r="AE47" s="35">
        <v>750</v>
      </c>
      <c r="AF47" s="35">
        <v>0</v>
      </c>
      <c r="AG47" s="35"/>
      <c r="AH47" s="35"/>
      <c r="AI47" s="35"/>
      <c r="AJ47" s="35"/>
      <c r="AK47" s="35"/>
      <c r="AL47" s="35"/>
      <c r="AM47" s="35"/>
      <c r="AN47" s="35"/>
      <c r="AO47" s="35"/>
      <c r="AP47" s="35">
        <f t="shared" si="1"/>
        <v>27540</v>
      </c>
      <c r="AQ47" s="35">
        <f t="shared" si="169"/>
        <v>82620</v>
      </c>
      <c r="AR47" s="35">
        <v>26790</v>
      </c>
      <c r="AS47" s="35">
        <v>750</v>
      </c>
      <c r="AT47" s="35">
        <v>0</v>
      </c>
      <c r="AU47" s="35"/>
      <c r="AV47" s="35"/>
      <c r="AW47" s="35"/>
      <c r="AX47" s="35"/>
      <c r="AY47" s="35"/>
      <c r="AZ47" s="35"/>
      <c r="BA47" s="35"/>
      <c r="BB47" s="35"/>
      <c r="BC47" s="35"/>
      <c r="BD47" s="35">
        <f t="shared" si="6"/>
        <v>27540</v>
      </c>
      <c r="BE47" s="35">
        <v>26790</v>
      </c>
      <c r="BF47" s="35">
        <v>750</v>
      </c>
      <c r="BG47" s="35">
        <v>0</v>
      </c>
      <c r="BH47" s="35"/>
      <c r="BI47" s="35"/>
      <c r="BJ47" s="35"/>
      <c r="BK47" s="35"/>
      <c r="BL47" s="35"/>
      <c r="BM47" s="35"/>
      <c r="BN47" s="35"/>
      <c r="BO47" s="35"/>
      <c r="BP47" s="35"/>
      <c r="BQ47" s="35">
        <f t="shared" si="7"/>
        <v>27540</v>
      </c>
      <c r="BR47" s="35">
        <v>26790</v>
      </c>
      <c r="BS47" s="35">
        <v>750</v>
      </c>
      <c r="BT47" s="35">
        <v>0</v>
      </c>
      <c r="BU47" s="35"/>
      <c r="BV47" s="35"/>
      <c r="BW47" s="35"/>
      <c r="BX47" s="35"/>
      <c r="BY47" s="35"/>
      <c r="BZ47" s="35"/>
      <c r="CA47" s="35"/>
      <c r="CB47" s="35"/>
      <c r="CC47" s="35"/>
      <c r="CD47" s="35">
        <f t="shared" si="8"/>
        <v>27540</v>
      </c>
      <c r="CE47" s="35">
        <f t="shared" si="9"/>
        <v>82620</v>
      </c>
      <c r="CF47" s="35">
        <v>26790</v>
      </c>
      <c r="CG47" s="35">
        <v>750</v>
      </c>
      <c r="CH47" s="35">
        <v>0</v>
      </c>
      <c r="CI47" s="35"/>
      <c r="CJ47" s="35"/>
      <c r="CK47" s="35"/>
      <c r="CL47" s="35"/>
      <c r="CM47" s="35"/>
      <c r="CN47" s="35"/>
      <c r="CO47" s="35"/>
      <c r="CP47" s="35"/>
      <c r="CQ47" s="35"/>
      <c r="CR47" s="35">
        <f t="shared" si="10"/>
        <v>27540</v>
      </c>
      <c r="CS47" s="35">
        <f>26790+2800*6</f>
        <v>43590</v>
      </c>
      <c r="CT47" s="35">
        <v>750</v>
      </c>
      <c r="CU47" s="35">
        <v>0</v>
      </c>
      <c r="CV47" s="35"/>
      <c r="CW47" s="35"/>
      <c r="CX47" s="35"/>
      <c r="CY47" s="35"/>
      <c r="CZ47" s="35"/>
      <c r="DA47" s="35"/>
      <c r="DB47" s="35"/>
      <c r="DC47" s="35"/>
      <c r="DD47" s="35"/>
      <c r="DE47" s="35">
        <f t="shared" si="3"/>
        <v>44340</v>
      </c>
      <c r="DF47" s="35">
        <v>26790</v>
      </c>
      <c r="DG47" s="35">
        <v>750</v>
      </c>
      <c r="DH47" s="35">
        <v>0</v>
      </c>
      <c r="DI47" s="35"/>
      <c r="DJ47" s="35"/>
      <c r="DK47" s="35"/>
      <c r="DL47" s="35"/>
      <c r="DM47" s="35"/>
      <c r="DN47" s="35"/>
      <c r="DO47" s="35"/>
      <c r="DP47" s="35"/>
      <c r="DQ47" s="35"/>
      <c r="DR47" s="35">
        <f t="shared" si="11"/>
        <v>27540</v>
      </c>
      <c r="DS47" s="35">
        <f t="shared" si="12"/>
        <v>99420</v>
      </c>
      <c r="DT47" s="35">
        <v>29590</v>
      </c>
      <c r="DU47" s="35">
        <v>750</v>
      </c>
      <c r="DV47" s="35">
        <v>0</v>
      </c>
      <c r="DW47" s="35"/>
      <c r="DX47" s="35"/>
      <c r="DY47" s="35"/>
      <c r="DZ47" s="35"/>
      <c r="EA47" s="35"/>
      <c r="EB47" s="35"/>
      <c r="EC47" s="35"/>
      <c r="ED47" s="35"/>
      <c r="EE47" s="35"/>
      <c r="EF47" s="35">
        <f t="shared" si="13"/>
        <v>30340</v>
      </c>
      <c r="EG47" s="35">
        <v>29590</v>
      </c>
      <c r="EH47" s="35">
        <v>750</v>
      </c>
      <c r="EI47" s="35">
        <v>0</v>
      </c>
      <c r="EJ47" s="35"/>
      <c r="EK47" s="35"/>
      <c r="EL47" s="35"/>
      <c r="EM47" s="35"/>
      <c r="EN47" s="35"/>
      <c r="EO47" s="35"/>
      <c r="EP47" s="35"/>
      <c r="EQ47" s="35"/>
      <c r="ER47" s="35"/>
      <c r="ES47" s="35">
        <f t="shared" si="4"/>
        <v>30340</v>
      </c>
      <c r="ET47" s="35">
        <v>29590</v>
      </c>
      <c r="EU47" s="35">
        <v>750</v>
      </c>
      <c r="EV47" s="35">
        <v>0</v>
      </c>
      <c r="EW47" s="35"/>
      <c r="EX47" s="35"/>
      <c r="EY47" s="35"/>
      <c r="EZ47" s="35"/>
      <c r="FA47" s="35"/>
      <c r="FB47" s="35"/>
      <c r="FC47" s="35"/>
      <c r="FD47" s="35"/>
      <c r="FE47" s="35"/>
      <c r="FF47" s="35">
        <f t="shared" si="14"/>
        <v>30340</v>
      </c>
      <c r="FG47" s="35">
        <f t="shared" si="15"/>
        <v>91020</v>
      </c>
      <c r="FH47" s="35">
        <f t="shared" si="16"/>
        <v>355680</v>
      </c>
    </row>
    <row r="48" spans="1:164" x14ac:dyDescent="0.35">
      <c r="A48" s="34"/>
      <c r="B48" s="40"/>
      <c r="C48" s="41" t="s">
        <v>154</v>
      </c>
      <c r="D48" s="35">
        <v>25090</v>
      </c>
      <c r="E48" s="35">
        <v>750</v>
      </c>
      <c r="F48" s="35">
        <v>0</v>
      </c>
      <c r="G48" s="35"/>
      <c r="H48" s="35"/>
      <c r="I48" s="35"/>
      <c r="J48" s="35"/>
      <c r="K48" s="35"/>
      <c r="L48" s="35"/>
      <c r="M48" s="35"/>
      <c r="N48" s="35"/>
      <c r="O48" s="35"/>
      <c r="P48" s="35">
        <f t="shared" si="5"/>
        <v>25840</v>
      </c>
      <c r="Q48" s="35">
        <v>25090</v>
      </c>
      <c r="R48" s="35">
        <v>750</v>
      </c>
      <c r="S48" s="35">
        <v>0</v>
      </c>
      <c r="T48" s="35"/>
      <c r="U48" s="35"/>
      <c r="V48" s="35"/>
      <c r="W48" s="35"/>
      <c r="X48" s="35"/>
      <c r="Y48" s="35"/>
      <c r="Z48" s="35"/>
      <c r="AA48" s="35"/>
      <c r="AB48" s="35"/>
      <c r="AC48" s="35">
        <f t="shared" si="168"/>
        <v>25840</v>
      </c>
      <c r="AD48" s="35">
        <v>25090</v>
      </c>
      <c r="AE48" s="35">
        <v>750</v>
      </c>
      <c r="AF48" s="35">
        <v>0</v>
      </c>
      <c r="AG48" s="35"/>
      <c r="AH48" s="35"/>
      <c r="AI48" s="35"/>
      <c r="AJ48" s="35"/>
      <c r="AK48" s="35"/>
      <c r="AL48" s="35"/>
      <c r="AM48" s="35"/>
      <c r="AN48" s="35"/>
      <c r="AO48" s="35"/>
      <c r="AP48" s="35">
        <f t="shared" si="1"/>
        <v>25840</v>
      </c>
      <c r="AQ48" s="35">
        <f t="shared" si="169"/>
        <v>77520</v>
      </c>
      <c r="AR48" s="35">
        <v>25090</v>
      </c>
      <c r="AS48" s="35">
        <v>750</v>
      </c>
      <c r="AT48" s="35">
        <v>0</v>
      </c>
      <c r="AU48" s="35"/>
      <c r="AV48" s="35"/>
      <c r="AW48" s="35"/>
      <c r="AX48" s="35"/>
      <c r="AY48" s="35"/>
      <c r="AZ48" s="35"/>
      <c r="BA48" s="35"/>
      <c r="BB48" s="35"/>
      <c r="BC48" s="35"/>
      <c r="BD48" s="35">
        <f t="shared" si="6"/>
        <v>25840</v>
      </c>
      <c r="BE48" s="35">
        <v>25090</v>
      </c>
      <c r="BF48" s="35">
        <v>750</v>
      </c>
      <c r="BG48" s="35">
        <v>0</v>
      </c>
      <c r="BH48" s="35"/>
      <c r="BI48" s="35"/>
      <c r="BJ48" s="35"/>
      <c r="BK48" s="35"/>
      <c r="BL48" s="35"/>
      <c r="BM48" s="35"/>
      <c r="BN48" s="35"/>
      <c r="BO48" s="35"/>
      <c r="BP48" s="35"/>
      <c r="BQ48" s="35">
        <f t="shared" si="7"/>
        <v>25840</v>
      </c>
      <c r="BR48" s="35">
        <v>25090</v>
      </c>
      <c r="BS48" s="35">
        <v>750</v>
      </c>
      <c r="BT48" s="35">
        <v>0</v>
      </c>
      <c r="BU48" s="35"/>
      <c r="BV48" s="35"/>
      <c r="BW48" s="35"/>
      <c r="BX48" s="35"/>
      <c r="BY48" s="35"/>
      <c r="BZ48" s="35"/>
      <c r="CA48" s="35"/>
      <c r="CB48" s="35"/>
      <c r="CC48" s="35"/>
      <c r="CD48" s="35">
        <f t="shared" si="8"/>
        <v>25840</v>
      </c>
      <c r="CE48" s="35">
        <f t="shared" si="9"/>
        <v>77520</v>
      </c>
      <c r="CF48" s="35">
        <v>25090</v>
      </c>
      <c r="CG48" s="35">
        <v>750</v>
      </c>
      <c r="CH48" s="35">
        <v>0</v>
      </c>
      <c r="CI48" s="35"/>
      <c r="CJ48" s="35"/>
      <c r="CK48" s="35"/>
      <c r="CL48" s="35"/>
      <c r="CM48" s="35"/>
      <c r="CN48" s="35"/>
      <c r="CO48" s="35"/>
      <c r="CP48" s="35"/>
      <c r="CQ48" s="35"/>
      <c r="CR48" s="35">
        <f t="shared" si="10"/>
        <v>25840</v>
      </c>
      <c r="CS48" s="35">
        <f>25090+6960+2800*6</f>
        <v>48850</v>
      </c>
      <c r="CT48" s="35">
        <v>750</v>
      </c>
      <c r="CU48" s="35">
        <v>0</v>
      </c>
      <c r="CV48" s="35"/>
      <c r="CW48" s="35"/>
      <c r="CX48" s="35"/>
      <c r="CY48" s="35"/>
      <c r="CZ48" s="35"/>
      <c r="DA48" s="35"/>
      <c r="DB48" s="35"/>
      <c r="DC48" s="35"/>
      <c r="DD48" s="35"/>
      <c r="DE48" s="35">
        <f t="shared" si="3"/>
        <v>49600</v>
      </c>
      <c r="DF48" s="35">
        <v>25090</v>
      </c>
      <c r="DG48" s="35">
        <v>750</v>
      </c>
      <c r="DH48" s="35">
        <v>0</v>
      </c>
      <c r="DI48" s="35"/>
      <c r="DJ48" s="35"/>
      <c r="DK48" s="35"/>
      <c r="DL48" s="35"/>
      <c r="DM48" s="35"/>
      <c r="DN48" s="35"/>
      <c r="DO48" s="35"/>
      <c r="DP48" s="35"/>
      <c r="DQ48" s="35"/>
      <c r="DR48" s="35">
        <f t="shared" si="11"/>
        <v>25840</v>
      </c>
      <c r="DS48" s="35">
        <f t="shared" si="12"/>
        <v>101280</v>
      </c>
      <c r="DT48" s="35">
        <v>29050</v>
      </c>
      <c r="DU48" s="35">
        <v>750</v>
      </c>
      <c r="DV48" s="35">
        <v>0</v>
      </c>
      <c r="DW48" s="35"/>
      <c r="DX48" s="35"/>
      <c r="DY48" s="35"/>
      <c r="DZ48" s="35"/>
      <c r="EA48" s="35"/>
      <c r="EB48" s="35"/>
      <c r="EC48" s="35"/>
      <c r="ED48" s="35"/>
      <c r="EE48" s="35"/>
      <c r="EF48" s="35">
        <f t="shared" si="13"/>
        <v>29800</v>
      </c>
      <c r="EG48" s="35">
        <v>29050</v>
      </c>
      <c r="EH48" s="35">
        <v>750</v>
      </c>
      <c r="EI48" s="35">
        <v>0</v>
      </c>
      <c r="EJ48" s="35"/>
      <c r="EK48" s="35"/>
      <c r="EL48" s="35"/>
      <c r="EM48" s="35"/>
      <c r="EN48" s="35"/>
      <c r="EO48" s="35"/>
      <c r="EP48" s="35"/>
      <c r="EQ48" s="35"/>
      <c r="ER48" s="35"/>
      <c r="ES48" s="35">
        <f t="shared" si="4"/>
        <v>29800</v>
      </c>
      <c r="ET48" s="35">
        <v>29050</v>
      </c>
      <c r="EU48" s="35">
        <v>750</v>
      </c>
      <c r="EV48" s="35">
        <v>0</v>
      </c>
      <c r="EW48" s="35"/>
      <c r="EX48" s="35"/>
      <c r="EY48" s="35"/>
      <c r="EZ48" s="35"/>
      <c r="FA48" s="35"/>
      <c r="FB48" s="35"/>
      <c r="FC48" s="35"/>
      <c r="FD48" s="35"/>
      <c r="FE48" s="35"/>
      <c r="FF48" s="35">
        <f t="shared" si="14"/>
        <v>29800</v>
      </c>
      <c r="FG48" s="35">
        <f t="shared" si="15"/>
        <v>89400</v>
      </c>
      <c r="FH48" s="35">
        <f t="shared" si="16"/>
        <v>345720</v>
      </c>
    </row>
    <row r="49" spans="1:164" x14ac:dyDescent="0.35">
      <c r="A49" s="34"/>
      <c r="B49" s="40"/>
      <c r="C49" s="41" t="s">
        <v>155</v>
      </c>
      <c r="D49" s="35"/>
      <c r="E49" s="35"/>
      <c r="F49" s="35"/>
      <c r="G49" s="35">
        <v>21890</v>
      </c>
      <c r="H49" s="35">
        <v>750</v>
      </c>
      <c r="I49" s="35">
        <v>657</v>
      </c>
      <c r="J49" s="35"/>
      <c r="K49" s="35"/>
      <c r="L49" s="35"/>
      <c r="M49" s="35"/>
      <c r="N49" s="35"/>
      <c r="O49" s="35"/>
      <c r="P49" s="35">
        <f t="shared" si="5"/>
        <v>23297</v>
      </c>
      <c r="Q49" s="35"/>
      <c r="R49" s="35"/>
      <c r="S49" s="35"/>
      <c r="T49" s="35">
        <v>21890</v>
      </c>
      <c r="U49" s="35">
        <v>750</v>
      </c>
      <c r="V49" s="35">
        <v>657</v>
      </c>
      <c r="W49" s="35"/>
      <c r="X49" s="35"/>
      <c r="Y49" s="35"/>
      <c r="Z49" s="35"/>
      <c r="AA49" s="35"/>
      <c r="AB49" s="35"/>
      <c r="AC49" s="35">
        <f t="shared" si="168"/>
        <v>23297</v>
      </c>
      <c r="AD49" s="35"/>
      <c r="AE49" s="35"/>
      <c r="AF49" s="35"/>
      <c r="AG49" s="35">
        <v>21890</v>
      </c>
      <c r="AH49" s="35">
        <v>750</v>
      </c>
      <c r="AI49" s="35">
        <v>657</v>
      </c>
      <c r="AJ49" s="35"/>
      <c r="AK49" s="35"/>
      <c r="AL49" s="35"/>
      <c r="AM49" s="35"/>
      <c r="AN49" s="35"/>
      <c r="AO49" s="35"/>
      <c r="AP49" s="35">
        <f t="shared" si="1"/>
        <v>23297</v>
      </c>
      <c r="AQ49" s="35">
        <f t="shared" si="169"/>
        <v>69891</v>
      </c>
      <c r="AR49" s="35"/>
      <c r="AS49" s="35"/>
      <c r="AT49" s="35"/>
      <c r="AU49" s="35">
        <v>21890</v>
      </c>
      <c r="AV49" s="35">
        <v>750</v>
      </c>
      <c r="AW49" s="35">
        <v>657</v>
      </c>
      <c r="AX49" s="35"/>
      <c r="AY49" s="35"/>
      <c r="AZ49" s="35"/>
      <c r="BA49" s="35"/>
      <c r="BB49" s="35"/>
      <c r="BC49" s="35"/>
      <c r="BD49" s="35">
        <f t="shared" si="6"/>
        <v>23297</v>
      </c>
      <c r="BE49" s="35"/>
      <c r="BF49" s="35"/>
      <c r="BG49" s="35"/>
      <c r="BH49" s="35">
        <v>21890</v>
      </c>
      <c r="BI49" s="35">
        <v>750</v>
      </c>
      <c r="BJ49" s="35">
        <v>657</v>
      </c>
      <c r="BK49" s="35"/>
      <c r="BL49" s="35"/>
      <c r="BM49" s="35"/>
      <c r="BN49" s="35"/>
      <c r="BO49" s="35"/>
      <c r="BP49" s="35"/>
      <c r="BQ49" s="35">
        <f t="shared" si="7"/>
        <v>23297</v>
      </c>
      <c r="BR49" s="35"/>
      <c r="BS49" s="35"/>
      <c r="BT49" s="35"/>
      <c r="BU49" s="35">
        <v>21890</v>
      </c>
      <c r="BV49" s="35">
        <v>750</v>
      </c>
      <c r="BW49" s="35">
        <v>657</v>
      </c>
      <c r="BX49" s="35"/>
      <c r="BY49" s="35"/>
      <c r="BZ49" s="35"/>
      <c r="CA49" s="35"/>
      <c r="CB49" s="35"/>
      <c r="CC49" s="35"/>
      <c r="CD49" s="35">
        <f t="shared" si="8"/>
        <v>23297</v>
      </c>
      <c r="CE49" s="35">
        <f t="shared" si="9"/>
        <v>69891</v>
      </c>
      <c r="CF49" s="35"/>
      <c r="CG49" s="35"/>
      <c r="CH49" s="35"/>
      <c r="CI49" s="35">
        <f>22990+(1100*6)</f>
        <v>29590</v>
      </c>
      <c r="CJ49" s="35">
        <v>750</v>
      </c>
      <c r="CK49" s="35">
        <f>690+(33*6)</f>
        <v>888</v>
      </c>
      <c r="CL49" s="35"/>
      <c r="CM49" s="35"/>
      <c r="CN49" s="35"/>
      <c r="CO49" s="35"/>
      <c r="CP49" s="35"/>
      <c r="CQ49" s="35"/>
      <c r="CR49" s="35">
        <f t="shared" si="10"/>
        <v>31228</v>
      </c>
      <c r="CS49" s="35"/>
      <c r="CT49" s="35"/>
      <c r="CU49" s="35"/>
      <c r="CV49" s="35">
        <f>22990+1200*6</f>
        <v>30190</v>
      </c>
      <c r="CW49" s="35">
        <v>750</v>
      </c>
      <c r="CX49" s="35">
        <f>690+36*6</f>
        <v>906</v>
      </c>
      <c r="CY49" s="35"/>
      <c r="CZ49" s="35"/>
      <c r="DA49" s="35"/>
      <c r="DB49" s="35"/>
      <c r="DC49" s="35"/>
      <c r="DD49" s="35"/>
      <c r="DE49" s="35">
        <f t="shared" si="3"/>
        <v>31846</v>
      </c>
      <c r="DF49" s="35"/>
      <c r="DG49" s="35"/>
      <c r="DH49" s="35"/>
      <c r="DI49" s="35">
        <v>22990</v>
      </c>
      <c r="DJ49" s="35">
        <v>750</v>
      </c>
      <c r="DK49" s="35">
        <v>690</v>
      </c>
      <c r="DL49" s="35"/>
      <c r="DM49" s="35"/>
      <c r="DN49" s="35"/>
      <c r="DO49" s="35"/>
      <c r="DP49" s="35"/>
      <c r="DQ49" s="35"/>
      <c r="DR49" s="35">
        <f t="shared" si="11"/>
        <v>24430</v>
      </c>
      <c r="DS49" s="35">
        <f t="shared" si="12"/>
        <v>87504</v>
      </c>
      <c r="DT49" s="35"/>
      <c r="DU49" s="35"/>
      <c r="DV49" s="35"/>
      <c r="DW49" s="35">
        <v>24190</v>
      </c>
      <c r="DX49" s="35">
        <v>750</v>
      </c>
      <c r="DY49" s="35">
        <v>726</v>
      </c>
      <c r="DZ49" s="35"/>
      <c r="EA49" s="35"/>
      <c r="EB49" s="35"/>
      <c r="EC49" s="35"/>
      <c r="ED49" s="35"/>
      <c r="EE49" s="35"/>
      <c r="EF49" s="35">
        <f t="shared" si="13"/>
        <v>25666</v>
      </c>
      <c r="EG49" s="35"/>
      <c r="EH49" s="35"/>
      <c r="EI49" s="35"/>
      <c r="EJ49" s="35">
        <v>24190</v>
      </c>
      <c r="EK49" s="35">
        <v>750</v>
      </c>
      <c r="EL49" s="35">
        <v>726</v>
      </c>
      <c r="EM49" s="35"/>
      <c r="EN49" s="35"/>
      <c r="EO49" s="35"/>
      <c r="EP49" s="35"/>
      <c r="EQ49" s="35"/>
      <c r="ER49" s="35"/>
      <c r="ES49" s="35">
        <f t="shared" si="4"/>
        <v>25666</v>
      </c>
      <c r="ET49" s="35"/>
      <c r="EU49" s="35"/>
      <c r="EV49" s="35"/>
      <c r="EW49" s="35">
        <v>24190</v>
      </c>
      <c r="EX49" s="35">
        <v>750</v>
      </c>
      <c r="EY49" s="35">
        <v>726</v>
      </c>
      <c r="EZ49" s="35"/>
      <c r="FA49" s="35"/>
      <c r="FB49" s="35"/>
      <c r="FC49" s="35"/>
      <c r="FD49" s="35"/>
      <c r="FE49" s="35"/>
      <c r="FF49" s="35">
        <f t="shared" si="14"/>
        <v>25666</v>
      </c>
      <c r="FG49" s="35">
        <f t="shared" si="15"/>
        <v>76998</v>
      </c>
      <c r="FH49" s="35">
        <f t="shared" si="16"/>
        <v>304284</v>
      </c>
    </row>
    <row r="50" spans="1:164" x14ac:dyDescent="0.35">
      <c r="A50" s="34"/>
      <c r="B50" s="40"/>
      <c r="C50" s="41" t="s">
        <v>156</v>
      </c>
      <c r="D50" s="35">
        <v>27410</v>
      </c>
      <c r="E50" s="35">
        <v>750</v>
      </c>
      <c r="F50" s="35">
        <v>822</v>
      </c>
      <c r="G50" s="35"/>
      <c r="H50" s="35"/>
      <c r="I50" s="35"/>
      <c r="J50" s="35"/>
      <c r="K50" s="35"/>
      <c r="L50" s="35"/>
      <c r="M50" s="35"/>
      <c r="N50" s="35"/>
      <c r="O50" s="35"/>
      <c r="P50" s="35">
        <f t="shared" si="5"/>
        <v>28982</v>
      </c>
      <c r="Q50" s="35">
        <v>27410</v>
      </c>
      <c r="R50" s="35">
        <v>750</v>
      </c>
      <c r="S50" s="35">
        <v>822</v>
      </c>
      <c r="T50" s="35"/>
      <c r="U50" s="35"/>
      <c r="V50" s="35"/>
      <c r="W50" s="35"/>
      <c r="X50" s="35"/>
      <c r="Y50" s="35"/>
      <c r="Z50" s="35"/>
      <c r="AA50" s="35"/>
      <c r="AB50" s="35"/>
      <c r="AC50" s="35">
        <f t="shared" si="168"/>
        <v>28982</v>
      </c>
      <c r="AD50" s="35">
        <v>27410</v>
      </c>
      <c r="AE50" s="35">
        <v>750</v>
      </c>
      <c r="AF50" s="35">
        <v>822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>
        <f t="shared" si="1"/>
        <v>28982</v>
      </c>
      <c r="AQ50" s="35">
        <f t="shared" si="169"/>
        <v>86946</v>
      </c>
      <c r="AR50" s="35">
        <v>27410</v>
      </c>
      <c r="AS50" s="35">
        <v>750</v>
      </c>
      <c r="AT50" s="35">
        <v>822</v>
      </c>
      <c r="AU50" s="35"/>
      <c r="AV50" s="35"/>
      <c r="AW50" s="35"/>
      <c r="AX50" s="35"/>
      <c r="AY50" s="35"/>
      <c r="AZ50" s="35"/>
      <c r="BA50" s="35"/>
      <c r="BB50" s="35"/>
      <c r="BC50" s="35"/>
      <c r="BD50" s="35">
        <f t="shared" si="6"/>
        <v>28982</v>
      </c>
      <c r="BE50" s="35">
        <v>27410</v>
      </c>
      <c r="BF50" s="35">
        <v>750</v>
      </c>
      <c r="BG50" s="35">
        <v>822</v>
      </c>
      <c r="BH50" s="35"/>
      <c r="BI50" s="35"/>
      <c r="BJ50" s="35"/>
      <c r="BK50" s="35"/>
      <c r="BL50" s="35"/>
      <c r="BM50" s="35"/>
      <c r="BN50" s="35"/>
      <c r="BO50" s="35"/>
      <c r="BP50" s="35"/>
      <c r="BQ50" s="35">
        <f t="shared" si="7"/>
        <v>28982</v>
      </c>
      <c r="BR50" s="35">
        <v>27410</v>
      </c>
      <c r="BS50" s="35">
        <v>750</v>
      </c>
      <c r="BT50" s="35">
        <v>822</v>
      </c>
      <c r="BU50" s="35"/>
      <c r="BV50" s="35"/>
      <c r="BW50" s="35"/>
      <c r="BX50" s="35"/>
      <c r="BY50" s="35"/>
      <c r="BZ50" s="35"/>
      <c r="CA50" s="35"/>
      <c r="CB50" s="35"/>
      <c r="CC50" s="35"/>
      <c r="CD50" s="35">
        <f t="shared" si="8"/>
        <v>28982</v>
      </c>
      <c r="CE50" s="35">
        <f t="shared" si="9"/>
        <v>86946</v>
      </c>
      <c r="CF50" s="35">
        <f>28790+(1380*6)</f>
        <v>37070</v>
      </c>
      <c r="CG50" s="35">
        <v>750</v>
      </c>
      <c r="CH50" s="35">
        <f>864+(41*6)</f>
        <v>1110</v>
      </c>
      <c r="CI50" s="35"/>
      <c r="CJ50" s="35"/>
      <c r="CK50" s="35"/>
      <c r="CL50" s="35"/>
      <c r="CM50" s="35"/>
      <c r="CN50" s="35"/>
      <c r="CO50" s="35"/>
      <c r="CP50" s="35"/>
      <c r="CQ50" s="35"/>
      <c r="CR50" s="35">
        <f t="shared" si="10"/>
        <v>38930</v>
      </c>
      <c r="CS50" s="35">
        <f>28790+2800*6</f>
        <v>45590</v>
      </c>
      <c r="CT50" s="35">
        <v>750</v>
      </c>
      <c r="CU50" s="35">
        <f>864+84*6</f>
        <v>1368</v>
      </c>
      <c r="CV50" s="35"/>
      <c r="CW50" s="35"/>
      <c r="CX50" s="35"/>
      <c r="CY50" s="35"/>
      <c r="CZ50" s="35"/>
      <c r="DA50" s="35"/>
      <c r="DB50" s="35"/>
      <c r="DC50" s="35"/>
      <c r="DD50" s="35"/>
      <c r="DE50" s="35">
        <f t="shared" si="3"/>
        <v>47708</v>
      </c>
      <c r="DF50" s="35">
        <v>28790</v>
      </c>
      <c r="DG50" s="35">
        <v>750</v>
      </c>
      <c r="DH50" s="35">
        <v>864</v>
      </c>
      <c r="DI50" s="35"/>
      <c r="DJ50" s="35"/>
      <c r="DK50" s="35"/>
      <c r="DL50" s="35"/>
      <c r="DM50" s="35"/>
      <c r="DN50" s="35"/>
      <c r="DO50" s="35"/>
      <c r="DP50" s="35"/>
      <c r="DQ50" s="35"/>
      <c r="DR50" s="35">
        <f t="shared" si="11"/>
        <v>30404</v>
      </c>
      <c r="DS50" s="35">
        <f t="shared" si="12"/>
        <v>117042</v>
      </c>
      <c r="DT50" s="35">
        <v>31590</v>
      </c>
      <c r="DU50" s="35">
        <v>750</v>
      </c>
      <c r="DV50" s="35">
        <v>948</v>
      </c>
      <c r="DW50" s="35"/>
      <c r="DX50" s="35"/>
      <c r="DY50" s="35"/>
      <c r="DZ50" s="35"/>
      <c r="EA50" s="35"/>
      <c r="EB50" s="35"/>
      <c r="EC50" s="35"/>
      <c r="ED50" s="35"/>
      <c r="EE50" s="35"/>
      <c r="EF50" s="35">
        <f t="shared" si="13"/>
        <v>33288</v>
      </c>
      <c r="EG50" s="35">
        <v>31590</v>
      </c>
      <c r="EH50" s="35">
        <v>750</v>
      </c>
      <c r="EI50" s="35">
        <v>948</v>
      </c>
      <c r="EJ50" s="35"/>
      <c r="EK50" s="35"/>
      <c r="EL50" s="35"/>
      <c r="EM50" s="35"/>
      <c r="EN50" s="35"/>
      <c r="EO50" s="35"/>
      <c r="EP50" s="35"/>
      <c r="EQ50" s="35"/>
      <c r="ER50" s="35"/>
      <c r="ES50" s="35">
        <f t="shared" si="4"/>
        <v>33288</v>
      </c>
      <c r="ET50" s="35">
        <v>31590</v>
      </c>
      <c r="EU50" s="35">
        <v>750</v>
      </c>
      <c r="EV50" s="35">
        <v>948</v>
      </c>
      <c r="EW50" s="35"/>
      <c r="EX50" s="35"/>
      <c r="EY50" s="35"/>
      <c r="EZ50" s="35"/>
      <c r="FA50" s="35"/>
      <c r="FB50" s="35"/>
      <c r="FC50" s="35"/>
      <c r="FD50" s="35"/>
      <c r="FE50" s="35"/>
      <c r="FF50" s="35">
        <f t="shared" si="14"/>
        <v>33288</v>
      </c>
      <c r="FG50" s="35">
        <f t="shared" si="15"/>
        <v>99864</v>
      </c>
      <c r="FH50" s="35">
        <f t="shared" si="16"/>
        <v>390798</v>
      </c>
    </row>
    <row r="51" spans="1:164" x14ac:dyDescent="0.35">
      <c r="A51" s="34"/>
      <c r="B51" s="40"/>
      <c r="C51" s="41" t="s">
        <v>157</v>
      </c>
      <c r="D51" s="35"/>
      <c r="E51" s="35"/>
      <c r="F51" s="35"/>
      <c r="G51" s="35">
        <v>21690</v>
      </c>
      <c r="H51" s="35">
        <v>750</v>
      </c>
      <c r="I51" s="35">
        <v>0</v>
      </c>
      <c r="J51" s="35"/>
      <c r="K51" s="35"/>
      <c r="L51" s="35"/>
      <c r="M51" s="35"/>
      <c r="N51" s="35"/>
      <c r="O51" s="35"/>
      <c r="P51" s="35">
        <f t="shared" si="5"/>
        <v>22440</v>
      </c>
      <c r="Q51" s="35"/>
      <c r="R51" s="35"/>
      <c r="S51" s="35"/>
      <c r="T51" s="35">
        <v>21690</v>
      </c>
      <c r="U51" s="35">
        <v>750</v>
      </c>
      <c r="V51" s="35">
        <v>0</v>
      </c>
      <c r="W51" s="35"/>
      <c r="X51" s="35"/>
      <c r="Y51" s="35"/>
      <c r="Z51" s="35"/>
      <c r="AA51" s="35"/>
      <c r="AB51" s="35"/>
      <c r="AC51" s="35">
        <f t="shared" si="168"/>
        <v>22440</v>
      </c>
      <c r="AD51" s="35"/>
      <c r="AE51" s="35"/>
      <c r="AF51" s="35"/>
      <c r="AG51" s="35">
        <v>21690</v>
      </c>
      <c r="AH51" s="35">
        <v>750</v>
      </c>
      <c r="AI51" s="35">
        <v>0</v>
      </c>
      <c r="AJ51" s="35"/>
      <c r="AK51" s="35"/>
      <c r="AL51" s="35"/>
      <c r="AM51" s="35"/>
      <c r="AN51" s="35"/>
      <c r="AO51" s="35"/>
      <c r="AP51" s="35">
        <f t="shared" si="1"/>
        <v>22440</v>
      </c>
      <c r="AQ51" s="35">
        <f t="shared" si="169"/>
        <v>67320</v>
      </c>
      <c r="AR51" s="35"/>
      <c r="AS51" s="35"/>
      <c r="AT51" s="35"/>
      <c r="AU51" s="35">
        <v>21690</v>
      </c>
      <c r="AV51" s="35">
        <v>750</v>
      </c>
      <c r="AW51" s="35">
        <v>0</v>
      </c>
      <c r="AX51" s="35"/>
      <c r="AY51" s="35"/>
      <c r="AZ51" s="35"/>
      <c r="BA51" s="35"/>
      <c r="BB51" s="35"/>
      <c r="BC51" s="35"/>
      <c r="BD51" s="35">
        <f t="shared" si="6"/>
        <v>22440</v>
      </c>
      <c r="BE51" s="35"/>
      <c r="BF51" s="35"/>
      <c r="BG51" s="35"/>
      <c r="BH51" s="35">
        <v>21690</v>
      </c>
      <c r="BI51" s="35">
        <v>750</v>
      </c>
      <c r="BJ51" s="35">
        <v>0</v>
      </c>
      <c r="BK51" s="35"/>
      <c r="BL51" s="35"/>
      <c r="BM51" s="35"/>
      <c r="BN51" s="35"/>
      <c r="BO51" s="35"/>
      <c r="BP51" s="35"/>
      <c r="BQ51" s="35">
        <f t="shared" si="7"/>
        <v>22440</v>
      </c>
      <c r="BR51" s="35"/>
      <c r="BS51" s="35"/>
      <c r="BT51" s="35"/>
      <c r="BU51" s="35">
        <v>21690</v>
      </c>
      <c r="BV51" s="35">
        <v>750</v>
      </c>
      <c r="BW51" s="35">
        <v>0</v>
      </c>
      <c r="BX51" s="35"/>
      <c r="BY51" s="35"/>
      <c r="BZ51" s="35"/>
      <c r="CA51" s="35"/>
      <c r="CB51" s="35"/>
      <c r="CC51" s="35"/>
      <c r="CD51" s="35">
        <f t="shared" si="8"/>
        <v>22440</v>
      </c>
      <c r="CE51" s="35">
        <f t="shared" si="9"/>
        <v>67320</v>
      </c>
      <c r="CF51" s="35"/>
      <c r="CG51" s="35"/>
      <c r="CH51" s="35"/>
      <c r="CI51" s="35">
        <f>22750+(1060*6)</f>
        <v>29110</v>
      </c>
      <c r="CJ51" s="35">
        <v>750</v>
      </c>
      <c r="CK51" s="35">
        <v>0</v>
      </c>
      <c r="CL51" s="35"/>
      <c r="CM51" s="35"/>
      <c r="CN51" s="35"/>
      <c r="CO51" s="35"/>
      <c r="CP51" s="35"/>
      <c r="CQ51" s="35"/>
      <c r="CR51" s="35">
        <f t="shared" si="10"/>
        <v>29860</v>
      </c>
      <c r="CS51" s="35"/>
      <c r="CT51" s="35"/>
      <c r="CU51" s="35"/>
      <c r="CV51" s="35">
        <f>22750+1200*6</f>
        <v>29950</v>
      </c>
      <c r="CW51" s="35">
        <v>750</v>
      </c>
      <c r="CX51" s="35">
        <v>0</v>
      </c>
      <c r="CY51" s="35"/>
      <c r="CZ51" s="35"/>
      <c r="DA51" s="35"/>
      <c r="DB51" s="35"/>
      <c r="DC51" s="35"/>
      <c r="DD51" s="35"/>
      <c r="DE51" s="35">
        <f t="shared" si="3"/>
        <v>30700</v>
      </c>
      <c r="DF51" s="35"/>
      <c r="DG51" s="35"/>
      <c r="DH51" s="35"/>
      <c r="DI51" s="35">
        <v>22750</v>
      </c>
      <c r="DJ51" s="35">
        <v>750</v>
      </c>
      <c r="DK51" s="35">
        <v>0</v>
      </c>
      <c r="DL51" s="35"/>
      <c r="DM51" s="35"/>
      <c r="DN51" s="35"/>
      <c r="DO51" s="35"/>
      <c r="DP51" s="35"/>
      <c r="DQ51" s="35"/>
      <c r="DR51" s="35">
        <f t="shared" si="11"/>
        <v>23500</v>
      </c>
      <c r="DS51" s="35">
        <f t="shared" si="12"/>
        <v>84060</v>
      </c>
      <c r="DT51" s="35"/>
      <c r="DU51" s="35"/>
      <c r="DV51" s="35"/>
      <c r="DW51" s="35">
        <v>23950</v>
      </c>
      <c r="DX51" s="35">
        <v>750</v>
      </c>
      <c r="DY51" s="35">
        <v>0</v>
      </c>
      <c r="DZ51" s="35"/>
      <c r="EA51" s="35"/>
      <c r="EB51" s="35"/>
      <c r="EC51" s="35"/>
      <c r="ED51" s="35"/>
      <c r="EE51" s="35"/>
      <c r="EF51" s="35">
        <f t="shared" si="13"/>
        <v>24700</v>
      </c>
      <c r="EG51" s="35"/>
      <c r="EH51" s="35"/>
      <c r="EI51" s="35"/>
      <c r="EJ51" s="35">
        <v>23950</v>
      </c>
      <c r="EK51" s="35">
        <v>750</v>
      </c>
      <c r="EL51" s="35">
        <v>0</v>
      </c>
      <c r="EM51" s="35"/>
      <c r="EN51" s="35"/>
      <c r="EO51" s="35"/>
      <c r="EP51" s="35"/>
      <c r="EQ51" s="35"/>
      <c r="ER51" s="35"/>
      <c r="ES51" s="35">
        <f t="shared" si="4"/>
        <v>24700</v>
      </c>
      <c r="ET51" s="35"/>
      <c r="EU51" s="35"/>
      <c r="EV51" s="35"/>
      <c r="EW51" s="35">
        <v>23950</v>
      </c>
      <c r="EX51" s="35">
        <v>750</v>
      </c>
      <c r="EY51" s="35">
        <v>0</v>
      </c>
      <c r="EZ51" s="35"/>
      <c r="FA51" s="35"/>
      <c r="FB51" s="35"/>
      <c r="FC51" s="35"/>
      <c r="FD51" s="35"/>
      <c r="FE51" s="35"/>
      <c r="FF51" s="35">
        <f t="shared" si="14"/>
        <v>24700</v>
      </c>
      <c r="FG51" s="35">
        <f t="shared" si="15"/>
        <v>74100</v>
      </c>
      <c r="FH51" s="35">
        <f t="shared" si="16"/>
        <v>292800</v>
      </c>
    </row>
    <row r="52" spans="1:164" x14ac:dyDescent="0.35">
      <c r="A52" s="34"/>
      <c r="B52" s="40"/>
      <c r="C52" s="41" t="s">
        <v>158</v>
      </c>
      <c r="D52" s="35">
        <v>27410</v>
      </c>
      <c r="E52" s="35">
        <v>750</v>
      </c>
      <c r="F52" s="35">
        <v>822</v>
      </c>
      <c r="G52" s="35"/>
      <c r="H52" s="35"/>
      <c r="I52" s="35"/>
      <c r="J52" s="35"/>
      <c r="K52" s="35"/>
      <c r="L52" s="35"/>
      <c r="M52" s="35"/>
      <c r="N52" s="35"/>
      <c r="O52" s="35"/>
      <c r="P52" s="35">
        <f t="shared" si="5"/>
        <v>28982</v>
      </c>
      <c r="Q52" s="35">
        <v>27410</v>
      </c>
      <c r="R52" s="35">
        <v>750</v>
      </c>
      <c r="S52" s="35">
        <v>822</v>
      </c>
      <c r="T52" s="35"/>
      <c r="U52" s="35"/>
      <c r="V52" s="35"/>
      <c r="W52" s="35"/>
      <c r="X52" s="35"/>
      <c r="Y52" s="35"/>
      <c r="Z52" s="35"/>
      <c r="AA52" s="35"/>
      <c r="AB52" s="35"/>
      <c r="AC52" s="35">
        <f t="shared" si="168"/>
        <v>28982</v>
      </c>
      <c r="AD52" s="35">
        <v>27410</v>
      </c>
      <c r="AE52" s="35">
        <v>750</v>
      </c>
      <c r="AF52" s="35">
        <v>822</v>
      </c>
      <c r="AG52" s="35"/>
      <c r="AH52" s="35"/>
      <c r="AI52" s="35"/>
      <c r="AJ52" s="35"/>
      <c r="AK52" s="35"/>
      <c r="AL52" s="35"/>
      <c r="AM52" s="35"/>
      <c r="AN52" s="35"/>
      <c r="AO52" s="35"/>
      <c r="AP52" s="35">
        <f t="shared" si="1"/>
        <v>28982</v>
      </c>
      <c r="AQ52" s="35">
        <f t="shared" si="169"/>
        <v>86946</v>
      </c>
      <c r="AR52" s="35">
        <v>27410</v>
      </c>
      <c r="AS52" s="35">
        <v>750</v>
      </c>
      <c r="AT52" s="35">
        <v>822</v>
      </c>
      <c r="AU52" s="35"/>
      <c r="AV52" s="35"/>
      <c r="AW52" s="35"/>
      <c r="AX52" s="35"/>
      <c r="AY52" s="35"/>
      <c r="AZ52" s="35"/>
      <c r="BA52" s="35"/>
      <c r="BB52" s="35"/>
      <c r="BC52" s="35"/>
      <c r="BD52" s="35">
        <f t="shared" si="6"/>
        <v>28982</v>
      </c>
      <c r="BE52" s="35">
        <v>27410</v>
      </c>
      <c r="BF52" s="35">
        <v>750</v>
      </c>
      <c r="BG52" s="35">
        <v>822</v>
      </c>
      <c r="BH52" s="35"/>
      <c r="BI52" s="35"/>
      <c r="BJ52" s="35"/>
      <c r="BK52" s="35"/>
      <c r="BL52" s="35"/>
      <c r="BM52" s="35"/>
      <c r="BN52" s="35"/>
      <c r="BO52" s="35"/>
      <c r="BP52" s="35"/>
      <c r="BQ52" s="35">
        <f t="shared" si="7"/>
        <v>28982</v>
      </c>
      <c r="BR52" s="35">
        <v>27410</v>
      </c>
      <c r="BS52" s="35">
        <v>750</v>
      </c>
      <c r="BT52" s="35">
        <v>822</v>
      </c>
      <c r="BU52" s="35"/>
      <c r="BV52" s="35"/>
      <c r="BW52" s="35"/>
      <c r="BX52" s="35"/>
      <c r="BY52" s="35"/>
      <c r="BZ52" s="35"/>
      <c r="CA52" s="35"/>
      <c r="CB52" s="35"/>
      <c r="CC52" s="35"/>
      <c r="CD52" s="35">
        <f t="shared" si="8"/>
        <v>28982</v>
      </c>
      <c r="CE52" s="35">
        <f t="shared" si="9"/>
        <v>86946</v>
      </c>
      <c r="CF52" s="35">
        <f>28790+(1380*6)</f>
        <v>37070</v>
      </c>
      <c r="CG52" s="35">
        <v>750</v>
      </c>
      <c r="CH52" s="35">
        <f>864+(41*6)</f>
        <v>1110</v>
      </c>
      <c r="CI52" s="35"/>
      <c r="CJ52" s="35"/>
      <c r="CK52" s="35"/>
      <c r="CL52" s="35"/>
      <c r="CM52" s="35"/>
      <c r="CN52" s="35"/>
      <c r="CO52" s="35"/>
      <c r="CP52" s="35"/>
      <c r="CQ52" s="35"/>
      <c r="CR52" s="35">
        <f t="shared" si="10"/>
        <v>38930</v>
      </c>
      <c r="CS52" s="35">
        <f>28790+2800*6</f>
        <v>45590</v>
      </c>
      <c r="CT52" s="35">
        <v>750</v>
      </c>
      <c r="CU52" s="35">
        <f>864+84*6</f>
        <v>1368</v>
      </c>
      <c r="CV52" s="35"/>
      <c r="CW52" s="35"/>
      <c r="CX52" s="35"/>
      <c r="CY52" s="35"/>
      <c r="CZ52" s="35"/>
      <c r="DA52" s="35"/>
      <c r="DB52" s="35"/>
      <c r="DC52" s="35"/>
      <c r="DD52" s="35"/>
      <c r="DE52" s="35">
        <f t="shared" si="3"/>
        <v>47708</v>
      </c>
      <c r="DF52" s="35">
        <v>28790</v>
      </c>
      <c r="DG52" s="35">
        <v>750</v>
      </c>
      <c r="DH52" s="35">
        <v>864</v>
      </c>
      <c r="DI52" s="35"/>
      <c r="DJ52" s="35"/>
      <c r="DK52" s="35"/>
      <c r="DL52" s="35"/>
      <c r="DM52" s="35"/>
      <c r="DN52" s="35"/>
      <c r="DO52" s="35"/>
      <c r="DP52" s="35"/>
      <c r="DQ52" s="35"/>
      <c r="DR52" s="35">
        <f t="shared" si="11"/>
        <v>30404</v>
      </c>
      <c r="DS52" s="35">
        <f t="shared" si="12"/>
        <v>117042</v>
      </c>
      <c r="DT52" s="35">
        <v>31590</v>
      </c>
      <c r="DU52" s="35">
        <v>750</v>
      </c>
      <c r="DV52" s="35">
        <v>948</v>
      </c>
      <c r="DW52" s="35"/>
      <c r="DX52" s="35"/>
      <c r="DY52" s="35"/>
      <c r="DZ52" s="35"/>
      <c r="EA52" s="35"/>
      <c r="EB52" s="35"/>
      <c r="EC52" s="35"/>
      <c r="ED52" s="35"/>
      <c r="EE52" s="35"/>
      <c r="EF52" s="35">
        <f t="shared" si="13"/>
        <v>33288</v>
      </c>
      <c r="EG52" s="35">
        <v>31590</v>
      </c>
      <c r="EH52" s="35">
        <v>750</v>
      </c>
      <c r="EI52" s="35">
        <v>948</v>
      </c>
      <c r="EJ52" s="35"/>
      <c r="EK52" s="35"/>
      <c r="EL52" s="35"/>
      <c r="EM52" s="35"/>
      <c r="EN52" s="35"/>
      <c r="EO52" s="35"/>
      <c r="EP52" s="35"/>
      <c r="EQ52" s="35"/>
      <c r="ER52" s="35"/>
      <c r="ES52" s="35">
        <f t="shared" si="4"/>
        <v>33288</v>
      </c>
      <c r="ET52" s="35">
        <v>31590</v>
      </c>
      <c r="EU52" s="35">
        <v>750</v>
      </c>
      <c r="EV52" s="35">
        <v>948</v>
      </c>
      <c r="EW52" s="35"/>
      <c r="EX52" s="35"/>
      <c r="EY52" s="35"/>
      <c r="EZ52" s="35"/>
      <c r="FA52" s="35"/>
      <c r="FB52" s="35"/>
      <c r="FC52" s="35"/>
      <c r="FD52" s="35"/>
      <c r="FE52" s="35"/>
      <c r="FF52" s="35">
        <f t="shared" si="14"/>
        <v>33288</v>
      </c>
      <c r="FG52" s="35">
        <f t="shared" si="15"/>
        <v>99864</v>
      </c>
      <c r="FH52" s="35">
        <f t="shared" si="16"/>
        <v>390798</v>
      </c>
    </row>
    <row r="53" spans="1:164" x14ac:dyDescent="0.35">
      <c r="A53" s="34"/>
      <c r="B53" s="40"/>
      <c r="C53" s="41" t="s">
        <v>159</v>
      </c>
      <c r="D53" s="35">
        <v>27390</v>
      </c>
      <c r="E53" s="35">
        <v>750</v>
      </c>
      <c r="F53" s="35">
        <v>822</v>
      </c>
      <c r="G53" s="35"/>
      <c r="H53" s="35"/>
      <c r="I53" s="35"/>
      <c r="J53" s="35"/>
      <c r="K53" s="35"/>
      <c r="L53" s="35"/>
      <c r="M53" s="35"/>
      <c r="N53" s="35"/>
      <c r="O53" s="35"/>
      <c r="P53" s="35">
        <f t="shared" si="5"/>
        <v>28962</v>
      </c>
      <c r="Q53" s="35">
        <v>27390</v>
      </c>
      <c r="R53" s="35">
        <v>750</v>
      </c>
      <c r="S53" s="35">
        <v>822</v>
      </c>
      <c r="T53" s="35"/>
      <c r="U53" s="35"/>
      <c r="V53" s="35"/>
      <c r="W53" s="35"/>
      <c r="X53" s="35"/>
      <c r="Y53" s="35"/>
      <c r="Z53" s="35"/>
      <c r="AA53" s="35"/>
      <c r="AB53" s="35"/>
      <c r="AC53" s="35">
        <f t="shared" si="168"/>
        <v>28962</v>
      </c>
      <c r="AD53" s="35">
        <v>27390</v>
      </c>
      <c r="AE53" s="35">
        <v>750</v>
      </c>
      <c r="AF53" s="35">
        <v>822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>
        <f t="shared" si="1"/>
        <v>28962</v>
      </c>
      <c r="AQ53" s="35">
        <f t="shared" si="169"/>
        <v>86886</v>
      </c>
      <c r="AR53" s="35">
        <v>27390</v>
      </c>
      <c r="AS53" s="35">
        <v>750</v>
      </c>
      <c r="AT53" s="35">
        <v>822</v>
      </c>
      <c r="AU53" s="35"/>
      <c r="AV53" s="35"/>
      <c r="AW53" s="35"/>
      <c r="AX53" s="35"/>
      <c r="AY53" s="35"/>
      <c r="AZ53" s="35"/>
      <c r="BA53" s="35"/>
      <c r="BB53" s="35"/>
      <c r="BC53" s="35"/>
      <c r="BD53" s="35">
        <f t="shared" si="6"/>
        <v>28962</v>
      </c>
      <c r="BE53" s="35">
        <v>27390</v>
      </c>
      <c r="BF53" s="35">
        <v>750</v>
      </c>
      <c r="BG53" s="35">
        <v>822</v>
      </c>
      <c r="BH53" s="35"/>
      <c r="BI53" s="35"/>
      <c r="BJ53" s="35"/>
      <c r="BK53" s="35"/>
      <c r="BL53" s="35"/>
      <c r="BM53" s="35"/>
      <c r="BN53" s="35"/>
      <c r="BO53" s="35"/>
      <c r="BP53" s="35"/>
      <c r="BQ53" s="35">
        <f t="shared" si="7"/>
        <v>28962</v>
      </c>
      <c r="BR53" s="35">
        <v>27390</v>
      </c>
      <c r="BS53" s="35">
        <v>750</v>
      </c>
      <c r="BT53" s="35">
        <v>822</v>
      </c>
      <c r="BU53" s="35"/>
      <c r="BV53" s="35"/>
      <c r="BW53" s="35"/>
      <c r="BX53" s="35"/>
      <c r="BY53" s="35"/>
      <c r="BZ53" s="35"/>
      <c r="CA53" s="35"/>
      <c r="CB53" s="35"/>
      <c r="CC53" s="35"/>
      <c r="CD53" s="35">
        <f t="shared" si="8"/>
        <v>28962</v>
      </c>
      <c r="CE53" s="35">
        <f t="shared" si="9"/>
        <v>86886</v>
      </c>
      <c r="CF53" s="35">
        <f>28730+(1340*6)</f>
        <v>36770</v>
      </c>
      <c r="CG53" s="35">
        <v>750</v>
      </c>
      <c r="CH53" s="35">
        <f>862+(40*6)</f>
        <v>1102</v>
      </c>
      <c r="CI53" s="35"/>
      <c r="CJ53" s="35"/>
      <c r="CK53" s="35"/>
      <c r="CL53" s="35"/>
      <c r="CM53" s="35"/>
      <c r="CN53" s="35"/>
      <c r="CO53" s="35"/>
      <c r="CP53" s="35"/>
      <c r="CQ53" s="35"/>
      <c r="CR53" s="35">
        <f t="shared" si="10"/>
        <v>38622</v>
      </c>
      <c r="CS53" s="35">
        <f>28730+2750*6</f>
        <v>45230</v>
      </c>
      <c r="CT53" s="35">
        <v>750</v>
      </c>
      <c r="CU53" s="35">
        <f>862+83*6</f>
        <v>1360</v>
      </c>
      <c r="CV53" s="35"/>
      <c r="CW53" s="35"/>
      <c r="CX53" s="35"/>
      <c r="CY53" s="35"/>
      <c r="CZ53" s="35"/>
      <c r="DA53" s="35"/>
      <c r="DB53" s="35"/>
      <c r="DC53" s="35"/>
      <c r="DD53" s="35"/>
      <c r="DE53" s="35">
        <f t="shared" si="3"/>
        <v>47340</v>
      </c>
      <c r="DF53" s="35">
        <v>28730</v>
      </c>
      <c r="DG53" s="35">
        <v>750</v>
      </c>
      <c r="DH53" s="35">
        <v>862</v>
      </c>
      <c r="DI53" s="35"/>
      <c r="DJ53" s="35"/>
      <c r="DK53" s="35"/>
      <c r="DL53" s="35"/>
      <c r="DM53" s="35"/>
      <c r="DN53" s="35"/>
      <c r="DO53" s="35"/>
      <c r="DP53" s="35"/>
      <c r="DQ53" s="35"/>
      <c r="DR53" s="35">
        <f t="shared" si="11"/>
        <v>30342</v>
      </c>
      <c r="DS53" s="35">
        <f t="shared" si="12"/>
        <v>116304</v>
      </c>
      <c r="DT53" s="35">
        <v>31480</v>
      </c>
      <c r="DU53" s="35">
        <v>750</v>
      </c>
      <c r="DV53" s="35">
        <v>944</v>
      </c>
      <c r="DW53" s="35"/>
      <c r="DX53" s="35"/>
      <c r="DY53" s="35"/>
      <c r="DZ53" s="35"/>
      <c r="EA53" s="35"/>
      <c r="EB53" s="35"/>
      <c r="EC53" s="35"/>
      <c r="ED53" s="35"/>
      <c r="EE53" s="35"/>
      <c r="EF53" s="35">
        <f t="shared" si="13"/>
        <v>33174</v>
      </c>
      <c r="EG53" s="35">
        <v>31480</v>
      </c>
      <c r="EH53" s="35">
        <v>750</v>
      </c>
      <c r="EI53" s="35">
        <v>944</v>
      </c>
      <c r="EJ53" s="35"/>
      <c r="EK53" s="35"/>
      <c r="EL53" s="35"/>
      <c r="EM53" s="35"/>
      <c r="EN53" s="35"/>
      <c r="EO53" s="35"/>
      <c r="EP53" s="35"/>
      <c r="EQ53" s="35"/>
      <c r="ER53" s="35"/>
      <c r="ES53" s="35">
        <f t="shared" si="4"/>
        <v>33174</v>
      </c>
      <c r="ET53" s="35">
        <v>31480</v>
      </c>
      <c r="EU53" s="35">
        <v>750</v>
      </c>
      <c r="EV53" s="35">
        <v>944</v>
      </c>
      <c r="EW53" s="35"/>
      <c r="EX53" s="35"/>
      <c r="EY53" s="35"/>
      <c r="EZ53" s="35"/>
      <c r="FA53" s="35"/>
      <c r="FB53" s="35"/>
      <c r="FC53" s="35"/>
      <c r="FD53" s="35"/>
      <c r="FE53" s="35"/>
      <c r="FF53" s="35">
        <f t="shared" si="14"/>
        <v>33174</v>
      </c>
      <c r="FG53" s="35">
        <f t="shared" si="15"/>
        <v>99522</v>
      </c>
      <c r="FH53" s="35">
        <f t="shared" si="16"/>
        <v>389598</v>
      </c>
    </row>
    <row r="54" spans="1:164" x14ac:dyDescent="0.35">
      <c r="A54" s="34"/>
      <c r="B54" s="40"/>
      <c r="C54" s="41" t="s">
        <v>160</v>
      </c>
      <c r="D54" s="35">
        <v>26090</v>
      </c>
      <c r="E54" s="35">
        <v>750</v>
      </c>
      <c r="F54" s="35">
        <v>783</v>
      </c>
      <c r="G54" s="35"/>
      <c r="H54" s="35"/>
      <c r="I54" s="35"/>
      <c r="J54" s="35"/>
      <c r="K54" s="35"/>
      <c r="L54" s="35"/>
      <c r="M54" s="35"/>
      <c r="N54" s="35"/>
      <c r="O54" s="35"/>
      <c r="P54" s="35">
        <f t="shared" si="5"/>
        <v>27623</v>
      </c>
      <c r="Q54" s="35">
        <v>26090</v>
      </c>
      <c r="R54" s="35">
        <v>750</v>
      </c>
      <c r="S54" s="35">
        <v>783</v>
      </c>
      <c r="T54" s="35"/>
      <c r="U54" s="35"/>
      <c r="V54" s="35"/>
      <c r="W54" s="35"/>
      <c r="X54" s="35"/>
      <c r="Y54" s="35"/>
      <c r="Z54" s="35"/>
      <c r="AA54" s="35"/>
      <c r="AB54" s="35"/>
      <c r="AC54" s="35">
        <f t="shared" si="168"/>
        <v>27623</v>
      </c>
      <c r="AD54" s="35">
        <v>26090</v>
      </c>
      <c r="AE54" s="35">
        <v>750</v>
      </c>
      <c r="AF54" s="35">
        <v>783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>
        <f t="shared" si="1"/>
        <v>27623</v>
      </c>
      <c r="AQ54" s="35">
        <f t="shared" si="169"/>
        <v>82869</v>
      </c>
      <c r="AR54" s="35">
        <v>26090</v>
      </c>
      <c r="AS54" s="35">
        <v>750</v>
      </c>
      <c r="AT54" s="35">
        <v>783</v>
      </c>
      <c r="AU54" s="35"/>
      <c r="AV54" s="35"/>
      <c r="AW54" s="35"/>
      <c r="AX54" s="35"/>
      <c r="AY54" s="35"/>
      <c r="AZ54" s="35"/>
      <c r="BA54" s="35"/>
      <c r="BB54" s="35"/>
      <c r="BC54" s="35"/>
      <c r="BD54" s="35">
        <f t="shared" si="6"/>
        <v>27623</v>
      </c>
      <c r="BE54" s="35">
        <v>26090</v>
      </c>
      <c r="BF54" s="35">
        <v>750</v>
      </c>
      <c r="BG54" s="35">
        <v>783</v>
      </c>
      <c r="BH54" s="35"/>
      <c r="BI54" s="35"/>
      <c r="BJ54" s="35"/>
      <c r="BK54" s="35"/>
      <c r="BL54" s="35"/>
      <c r="BM54" s="35"/>
      <c r="BN54" s="35"/>
      <c r="BO54" s="35"/>
      <c r="BP54" s="35"/>
      <c r="BQ54" s="35">
        <f t="shared" si="7"/>
        <v>27623</v>
      </c>
      <c r="BR54" s="35">
        <v>26090</v>
      </c>
      <c r="BS54" s="35">
        <v>750</v>
      </c>
      <c r="BT54" s="35">
        <v>783</v>
      </c>
      <c r="BU54" s="35"/>
      <c r="BV54" s="35"/>
      <c r="BW54" s="35"/>
      <c r="BX54" s="35"/>
      <c r="BY54" s="35"/>
      <c r="BZ54" s="35"/>
      <c r="CA54" s="35"/>
      <c r="CB54" s="35"/>
      <c r="CC54" s="35"/>
      <c r="CD54" s="35">
        <f t="shared" si="8"/>
        <v>27623</v>
      </c>
      <c r="CE54" s="35">
        <f t="shared" si="9"/>
        <v>82869</v>
      </c>
      <c r="CF54" s="35">
        <f>27400+(1310*6)</f>
        <v>35260</v>
      </c>
      <c r="CG54" s="35">
        <v>750</v>
      </c>
      <c r="CH54" s="35">
        <f>822+(39*6)</f>
        <v>1056</v>
      </c>
      <c r="CI54" s="35"/>
      <c r="CJ54" s="35"/>
      <c r="CK54" s="35"/>
      <c r="CL54" s="35"/>
      <c r="CM54" s="35"/>
      <c r="CN54" s="35"/>
      <c r="CO54" s="35"/>
      <c r="CP54" s="35"/>
      <c r="CQ54" s="35"/>
      <c r="CR54" s="35">
        <f t="shared" si="10"/>
        <v>37066</v>
      </c>
      <c r="CS54" s="35">
        <f>27400+2450*6</f>
        <v>42100</v>
      </c>
      <c r="CT54" s="35">
        <v>750</v>
      </c>
      <c r="CU54" s="35">
        <f>822+74*6</f>
        <v>1266</v>
      </c>
      <c r="CV54" s="35"/>
      <c r="CW54" s="35"/>
      <c r="CX54" s="35"/>
      <c r="CY54" s="35"/>
      <c r="CZ54" s="35"/>
      <c r="DA54" s="35"/>
      <c r="DB54" s="35"/>
      <c r="DC54" s="35"/>
      <c r="DD54" s="35"/>
      <c r="DE54" s="35">
        <f t="shared" si="3"/>
        <v>44116</v>
      </c>
      <c r="DF54" s="35">
        <v>27400</v>
      </c>
      <c r="DG54" s="35">
        <v>750</v>
      </c>
      <c r="DH54" s="35">
        <v>822</v>
      </c>
      <c r="DI54" s="35"/>
      <c r="DJ54" s="35"/>
      <c r="DK54" s="35"/>
      <c r="DL54" s="35"/>
      <c r="DM54" s="35"/>
      <c r="DN54" s="35"/>
      <c r="DO54" s="35"/>
      <c r="DP54" s="35"/>
      <c r="DQ54" s="35"/>
      <c r="DR54" s="35">
        <f t="shared" si="11"/>
        <v>28972</v>
      </c>
      <c r="DS54" s="35">
        <f t="shared" si="12"/>
        <v>110154</v>
      </c>
      <c r="DT54" s="35">
        <v>29850</v>
      </c>
      <c r="DU54" s="35">
        <v>750</v>
      </c>
      <c r="DV54" s="35">
        <v>896</v>
      </c>
      <c r="DW54" s="35"/>
      <c r="DX54" s="35"/>
      <c r="DY54" s="35"/>
      <c r="DZ54" s="35"/>
      <c r="EA54" s="35"/>
      <c r="EB54" s="35"/>
      <c r="EC54" s="35"/>
      <c r="ED54" s="35"/>
      <c r="EE54" s="35"/>
      <c r="EF54" s="35">
        <f t="shared" si="13"/>
        <v>31496</v>
      </c>
      <c r="EG54" s="35">
        <v>29850</v>
      </c>
      <c r="EH54" s="35">
        <v>750</v>
      </c>
      <c r="EI54" s="35">
        <v>896</v>
      </c>
      <c r="EJ54" s="35"/>
      <c r="EK54" s="35"/>
      <c r="EL54" s="35"/>
      <c r="EM54" s="35"/>
      <c r="EN54" s="35"/>
      <c r="EO54" s="35"/>
      <c r="EP54" s="35"/>
      <c r="EQ54" s="35"/>
      <c r="ER54" s="35"/>
      <c r="ES54" s="35">
        <f t="shared" si="4"/>
        <v>31496</v>
      </c>
      <c r="ET54" s="35">
        <v>29850</v>
      </c>
      <c r="EU54" s="35">
        <v>750</v>
      </c>
      <c r="EV54" s="35">
        <v>896</v>
      </c>
      <c r="EW54" s="35"/>
      <c r="EX54" s="35"/>
      <c r="EY54" s="35"/>
      <c r="EZ54" s="35"/>
      <c r="FA54" s="35"/>
      <c r="FB54" s="35"/>
      <c r="FC54" s="35"/>
      <c r="FD54" s="35"/>
      <c r="FE54" s="35"/>
      <c r="FF54" s="35">
        <f t="shared" si="14"/>
        <v>31496</v>
      </c>
      <c r="FG54" s="35">
        <f t="shared" si="15"/>
        <v>94488</v>
      </c>
      <c r="FH54" s="35">
        <f t="shared" si="16"/>
        <v>370380</v>
      </c>
    </row>
    <row r="55" spans="1:164" x14ac:dyDescent="0.35">
      <c r="A55" s="34"/>
      <c r="B55" s="40"/>
      <c r="C55" s="41" t="s">
        <v>161</v>
      </c>
      <c r="D55" s="35">
        <v>26100</v>
      </c>
      <c r="E55" s="35">
        <v>750</v>
      </c>
      <c r="F55" s="35">
        <v>783</v>
      </c>
      <c r="G55" s="35"/>
      <c r="H55" s="35"/>
      <c r="I55" s="35"/>
      <c r="J55" s="35"/>
      <c r="K55" s="35"/>
      <c r="L55" s="35"/>
      <c r="M55" s="35"/>
      <c r="N55" s="35"/>
      <c r="O55" s="35"/>
      <c r="P55" s="35">
        <f t="shared" si="5"/>
        <v>27633</v>
      </c>
      <c r="Q55" s="35">
        <v>26100</v>
      </c>
      <c r="R55" s="35">
        <v>750</v>
      </c>
      <c r="S55" s="35">
        <v>783</v>
      </c>
      <c r="T55" s="35"/>
      <c r="U55" s="35"/>
      <c r="V55" s="35"/>
      <c r="W55" s="35"/>
      <c r="X55" s="35"/>
      <c r="Y55" s="35"/>
      <c r="Z55" s="35"/>
      <c r="AA55" s="35"/>
      <c r="AB55" s="35"/>
      <c r="AC55" s="35">
        <f t="shared" si="168"/>
        <v>27633</v>
      </c>
      <c r="AD55" s="35">
        <v>26100</v>
      </c>
      <c r="AE55" s="35">
        <v>750</v>
      </c>
      <c r="AF55" s="35">
        <v>783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>
        <f t="shared" si="1"/>
        <v>27633</v>
      </c>
      <c r="AQ55" s="35">
        <f t="shared" si="169"/>
        <v>82899</v>
      </c>
      <c r="AR55" s="35">
        <v>26100</v>
      </c>
      <c r="AS55" s="35">
        <v>750</v>
      </c>
      <c r="AT55" s="35">
        <v>783</v>
      </c>
      <c r="AU55" s="35"/>
      <c r="AV55" s="35"/>
      <c r="AW55" s="35"/>
      <c r="AX55" s="35"/>
      <c r="AY55" s="35"/>
      <c r="AZ55" s="35"/>
      <c r="BA55" s="35"/>
      <c r="BB55" s="35"/>
      <c r="BC55" s="35"/>
      <c r="BD55" s="35">
        <f t="shared" si="6"/>
        <v>27633</v>
      </c>
      <c r="BE55" s="35">
        <v>26100</v>
      </c>
      <c r="BF55" s="35">
        <v>750</v>
      </c>
      <c r="BG55" s="35">
        <v>783</v>
      </c>
      <c r="BH55" s="35"/>
      <c r="BI55" s="35"/>
      <c r="BJ55" s="35"/>
      <c r="BK55" s="35"/>
      <c r="BL55" s="35"/>
      <c r="BM55" s="35"/>
      <c r="BN55" s="35"/>
      <c r="BO55" s="35"/>
      <c r="BP55" s="35"/>
      <c r="BQ55" s="35">
        <f t="shared" si="7"/>
        <v>27633</v>
      </c>
      <c r="BR55" s="35">
        <v>26100</v>
      </c>
      <c r="BS55" s="35">
        <v>750</v>
      </c>
      <c r="BT55" s="35">
        <v>783</v>
      </c>
      <c r="BU55" s="35"/>
      <c r="BV55" s="35"/>
      <c r="BW55" s="35"/>
      <c r="BX55" s="35"/>
      <c r="BY55" s="35"/>
      <c r="BZ55" s="35"/>
      <c r="CA55" s="35"/>
      <c r="CB55" s="35"/>
      <c r="CC55" s="35"/>
      <c r="CD55" s="35">
        <f t="shared" si="8"/>
        <v>27633</v>
      </c>
      <c r="CE55" s="35">
        <f t="shared" si="9"/>
        <v>82899</v>
      </c>
      <c r="CF55" s="35">
        <f>27410+(1310*6)</f>
        <v>35270</v>
      </c>
      <c r="CG55" s="35">
        <v>750</v>
      </c>
      <c r="CH55" s="35">
        <f>822+(39*6)</f>
        <v>1056</v>
      </c>
      <c r="CI55" s="35"/>
      <c r="CJ55" s="35"/>
      <c r="CK55" s="35"/>
      <c r="CL55" s="35"/>
      <c r="CM55" s="35"/>
      <c r="CN55" s="35"/>
      <c r="CO55" s="35"/>
      <c r="CP55" s="35"/>
      <c r="CQ55" s="35"/>
      <c r="CR55" s="35">
        <f t="shared" si="10"/>
        <v>37076</v>
      </c>
      <c r="CS55" s="35">
        <f>27410+2400*6</f>
        <v>41810</v>
      </c>
      <c r="CT55" s="35">
        <v>750</v>
      </c>
      <c r="CU55" s="35">
        <f>822+72*6</f>
        <v>1254</v>
      </c>
      <c r="CV55" s="35"/>
      <c r="CW55" s="35"/>
      <c r="CX55" s="35"/>
      <c r="CY55" s="35"/>
      <c r="CZ55" s="35"/>
      <c r="DA55" s="35"/>
      <c r="DB55" s="35"/>
      <c r="DC55" s="35"/>
      <c r="DD55" s="35"/>
      <c r="DE55" s="35">
        <f t="shared" si="3"/>
        <v>43814</v>
      </c>
      <c r="DF55" s="35">
        <v>27410</v>
      </c>
      <c r="DG55" s="35">
        <v>750</v>
      </c>
      <c r="DH55" s="35">
        <v>822</v>
      </c>
      <c r="DI55" s="35"/>
      <c r="DJ55" s="35"/>
      <c r="DK55" s="35"/>
      <c r="DL55" s="35"/>
      <c r="DM55" s="35"/>
      <c r="DN55" s="35"/>
      <c r="DO55" s="35"/>
      <c r="DP55" s="35"/>
      <c r="DQ55" s="35"/>
      <c r="DR55" s="35">
        <f t="shared" si="11"/>
        <v>28982</v>
      </c>
      <c r="DS55" s="35">
        <f t="shared" si="12"/>
        <v>109872</v>
      </c>
      <c r="DT55" s="35">
        <v>29810</v>
      </c>
      <c r="DU55" s="35">
        <v>750</v>
      </c>
      <c r="DV55" s="35">
        <v>894</v>
      </c>
      <c r="DW55" s="35"/>
      <c r="DX55" s="35"/>
      <c r="DY55" s="35"/>
      <c r="DZ55" s="35"/>
      <c r="EA55" s="35"/>
      <c r="EB55" s="35"/>
      <c r="EC55" s="35"/>
      <c r="ED55" s="35"/>
      <c r="EE55" s="35"/>
      <c r="EF55" s="35">
        <f t="shared" si="13"/>
        <v>31454</v>
      </c>
      <c r="EG55" s="35">
        <v>29810</v>
      </c>
      <c r="EH55" s="35">
        <v>750</v>
      </c>
      <c r="EI55" s="35">
        <v>894</v>
      </c>
      <c r="EJ55" s="35"/>
      <c r="EK55" s="35"/>
      <c r="EL55" s="35"/>
      <c r="EM55" s="35"/>
      <c r="EN55" s="35"/>
      <c r="EO55" s="35"/>
      <c r="EP55" s="35"/>
      <c r="EQ55" s="35"/>
      <c r="ER55" s="35"/>
      <c r="ES55" s="35">
        <f t="shared" si="4"/>
        <v>31454</v>
      </c>
      <c r="ET55" s="35">
        <v>29810</v>
      </c>
      <c r="EU55" s="35">
        <v>750</v>
      </c>
      <c r="EV55" s="35">
        <v>894</v>
      </c>
      <c r="EW55" s="35"/>
      <c r="EX55" s="35"/>
      <c r="EY55" s="35"/>
      <c r="EZ55" s="35"/>
      <c r="FA55" s="35"/>
      <c r="FB55" s="35"/>
      <c r="FC55" s="35"/>
      <c r="FD55" s="35"/>
      <c r="FE55" s="35"/>
      <c r="FF55" s="35">
        <f t="shared" si="14"/>
        <v>31454</v>
      </c>
      <c r="FG55" s="35">
        <f t="shared" si="15"/>
        <v>94362</v>
      </c>
      <c r="FH55" s="35">
        <f t="shared" si="16"/>
        <v>370032</v>
      </c>
    </row>
    <row r="56" spans="1:164" x14ac:dyDescent="0.35">
      <c r="A56" s="34"/>
      <c r="B56" s="40"/>
      <c r="C56" s="41" t="s">
        <v>162</v>
      </c>
      <c r="D56" s="35">
        <v>30110</v>
      </c>
      <c r="E56" s="35">
        <v>750</v>
      </c>
      <c r="F56" s="35">
        <v>903</v>
      </c>
      <c r="G56" s="35"/>
      <c r="H56" s="35"/>
      <c r="I56" s="35"/>
      <c r="J56" s="35"/>
      <c r="K56" s="35"/>
      <c r="L56" s="35"/>
      <c r="M56" s="35"/>
      <c r="N56" s="35"/>
      <c r="O56" s="35"/>
      <c r="P56" s="35">
        <f t="shared" si="5"/>
        <v>31763</v>
      </c>
      <c r="Q56" s="35">
        <v>30110</v>
      </c>
      <c r="R56" s="35">
        <v>750</v>
      </c>
      <c r="S56" s="35">
        <v>903</v>
      </c>
      <c r="T56" s="35"/>
      <c r="U56" s="35"/>
      <c r="V56" s="35"/>
      <c r="W56" s="35"/>
      <c r="X56" s="35"/>
      <c r="Y56" s="35"/>
      <c r="Z56" s="35"/>
      <c r="AA56" s="35"/>
      <c r="AB56" s="35"/>
      <c r="AC56" s="35">
        <f t="shared" si="168"/>
        <v>31763</v>
      </c>
      <c r="AD56" s="35">
        <v>30110</v>
      </c>
      <c r="AE56" s="35">
        <v>750</v>
      </c>
      <c r="AF56" s="35">
        <v>903</v>
      </c>
      <c r="AG56" s="35"/>
      <c r="AH56" s="35"/>
      <c r="AI56" s="35"/>
      <c r="AJ56" s="35"/>
      <c r="AK56" s="35"/>
      <c r="AL56" s="35"/>
      <c r="AM56" s="35"/>
      <c r="AN56" s="35"/>
      <c r="AO56" s="35"/>
      <c r="AP56" s="35">
        <f t="shared" si="1"/>
        <v>31763</v>
      </c>
      <c r="AQ56" s="35">
        <f t="shared" si="169"/>
        <v>95289</v>
      </c>
      <c r="AR56" s="35">
        <v>30110</v>
      </c>
      <c r="AS56" s="35">
        <v>750</v>
      </c>
      <c r="AT56" s="35">
        <v>903</v>
      </c>
      <c r="AU56" s="35"/>
      <c r="AV56" s="35"/>
      <c r="AW56" s="35"/>
      <c r="AX56" s="35"/>
      <c r="AY56" s="35"/>
      <c r="AZ56" s="35"/>
      <c r="BA56" s="35"/>
      <c r="BB56" s="35"/>
      <c r="BC56" s="35"/>
      <c r="BD56" s="35">
        <f t="shared" si="6"/>
        <v>31763</v>
      </c>
      <c r="BE56" s="35">
        <v>30110</v>
      </c>
      <c r="BF56" s="35">
        <v>750</v>
      </c>
      <c r="BG56" s="35">
        <v>903</v>
      </c>
      <c r="BH56" s="35"/>
      <c r="BI56" s="35"/>
      <c r="BJ56" s="35"/>
      <c r="BK56" s="35"/>
      <c r="BL56" s="35"/>
      <c r="BM56" s="35"/>
      <c r="BN56" s="35"/>
      <c r="BO56" s="35"/>
      <c r="BP56" s="35"/>
      <c r="BQ56" s="35">
        <f t="shared" si="7"/>
        <v>31763</v>
      </c>
      <c r="BR56" s="35">
        <v>30110</v>
      </c>
      <c r="BS56" s="35">
        <v>750</v>
      </c>
      <c r="BT56" s="35">
        <v>903</v>
      </c>
      <c r="BU56" s="35"/>
      <c r="BV56" s="35"/>
      <c r="BW56" s="35"/>
      <c r="BX56" s="35"/>
      <c r="BY56" s="35"/>
      <c r="BZ56" s="35"/>
      <c r="CA56" s="35"/>
      <c r="CB56" s="35"/>
      <c r="CC56" s="35"/>
      <c r="CD56" s="35">
        <f t="shared" si="8"/>
        <v>31763</v>
      </c>
      <c r="CE56" s="35">
        <f t="shared" si="9"/>
        <v>95289</v>
      </c>
      <c r="CF56" s="35">
        <f>31620+(1510*6)</f>
        <v>40680</v>
      </c>
      <c r="CG56" s="35">
        <v>750</v>
      </c>
      <c r="CH56" s="35">
        <f>949+(45*6)</f>
        <v>1219</v>
      </c>
      <c r="CI56" s="35"/>
      <c r="CJ56" s="35"/>
      <c r="CK56" s="35"/>
      <c r="CL56" s="35"/>
      <c r="CM56" s="35"/>
      <c r="CN56" s="35"/>
      <c r="CO56" s="35"/>
      <c r="CP56" s="35"/>
      <c r="CQ56" s="35"/>
      <c r="CR56" s="35">
        <f t="shared" si="10"/>
        <v>42649</v>
      </c>
      <c r="CS56" s="35">
        <f>31620+2670*6</f>
        <v>47640</v>
      </c>
      <c r="CT56" s="35">
        <v>750</v>
      </c>
      <c r="CU56" s="35">
        <f>949+80*6</f>
        <v>1429</v>
      </c>
      <c r="CV56" s="35"/>
      <c r="CW56" s="35"/>
      <c r="CX56" s="35"/>
      <c r="CY56" s="35"/>
      <c r="CZ56" s="35"/>
      <c r="DA56" s="35"/>
      <c r="DB56" s="35"/>
      <c r="DC56" s="35"/>
      <c r="DD56" s="35"/>
      <c r="DE56" s="35">
        <f t="shared" si="3"/>
        <v>49819</v>
      </c>
      <c r="DF56" s="35">
        <v>31620</v>
      </c>
      <c r="DG56" s="35">
        <v>750</v>
      </c>
      <c r="DH56" s="35">
        <v>949</v>
      </c>
      <c r="DI56" s="35"/>
      <c r="DJ56" s="35"/>
      <c r="DK56" s="35"/>
      <c r="DL56" s="35"/>
      <c r="DM56" s="35"/>
      <c r="DN56" s="35"/>
      <c r="DO56" s="35"/>
      <c r="DP56" s="35"/>
      <c r="DQ56" s="35"/>
      <c r="DR56" s="35">
        <f t="shared" si="11"/>
        <v>33319</v>
      </c>
      <c r="DS56" s="35">
        <f t="shared" si="12"/>
        <v>125787</v>
      </c>
      <c r="DT56" s="35">
        <v>34290</v>
      </c>
      <c r="DU56" s="35">
        <v>750</v>
      </c>
      <c r="DV56" s="35">
        <v>1029</v>
      </c>
      <c r="DW56" s="35"/>
      <c r="DX56" s="35"/>
      <c r="DY56" s="35"/>
      <c r="DZ56" s="35"/>
      <c r="EA56" s="35"/>
      <c r="EB56" s="35"/>
      <c r="EC56" s="35"/>
      <c r="ED56" s="35"/>
      <c r="EE56" s="35"/>
      <c r="EF56" s="35">
        <f t="shared" si="13"/>
        <v>36069</v>
      </c>
      <c r="EG56" s="35">
        <v>34290</v>
      </c>
      <c r="EH56" s="35">
        <v>750</v>
      </c>
      <c r="EI56" s="35">
        <v>1029</v>
      </c>
      <c r="EJ56" s="35"/>
      <c r="EK56" s="35"/>
      <c r="EL56" s="35"/>
      <c r="EM56" s="35"/>
      <c r="EN56" s="35"/>
      <c r="EO56" s="35"/>
      <c r="EP56" s="35"/>
      <c r="EQ56" s="35"/>
      <c r="ER56" s="35"/>
      <c r="ES56" s="35">
        <f t="shared" si="4"/>
        <v>36069</v>
      </c>
      <c r="ET56" s="35">
        <v>34290</v>
      </c>
      <c r="EU56" s="35">
        <v>750</v>
      </c>
      <c r="EV56" s="35">
        <v>1029</v>
      </c>
      <c r="EW56" s="35"/>
      <c r="EX56" s="35"/>
      <c r="EY56" s="35"/>
      <c r="EZ56" s="35"/>
      <c r="FA56" s="35"/>
      <c r="FB56" s="35"/>
      <c r="FC56" s="35"/>
      <c r="FD56" s="35"/>
      <c r="FE56" s="35"/>
      <c r="FF56" s="35">
        <f t="shared" si="14"/>
        <v>36069</v>
      </c>
      <c r="FG56" s="35">
        <f t="shared" si="15"/>
        <v>108207</v>
      </c>
      <c r="FH56" s="35">
        <f t="shared" si="16"/>
        <v>424572</v>
      </c>
    </row>
    <row r="57" spans="1:164" x14ac:dyDescent="0.35">
      <c r="A57" s="34"/>
      <c r="B57" s="40"/>
      <c r="C57" s="41" t="s">
        <v>163</v>
      </c>
      <c r="D57" s="35">
        <v>26100</v>
      </c>
      <c r="E57" s="35">
        <v>750</v>
      </c>
      <c r="F57" s="35">
        <v>783</v>
      </c>
      <c r="G57" s="35"/>
      <c r="H57" s="35"/>
      <c r="I57" s="35"/>
      <c r="J57" s="35"/>
      <c r="K57" s="35"/>
      <c r="L57" s="35"/>
      <c r="M57" s="35"/>
      <c r="N57" s="35"/>
      <c r="O57" s="35"/>
      <c r="P57" s="35">
        <f t="shared" si="5"/>
        <v>27633</v>
      </c>
      <c r="Q57" s="35">
        <v>26100</v>
      </c>
      <c r="R57" s="35">
        <v>750</v>
      </c>
      <c r="S57" s="35">
        <v>783</v>
      </c>
      <c r="T57" s="35"/>
      <c r="U57" s="35"/>
      <c r="V57" s="35"/>
      <c r="W57" s="35"/>
      <c r="X57" s="35"/>
      <c r="Y57" s="35"/>
      <c r="Z57" s="35"/>
      <c r="AA57" s="35"/>
      <c r="AB57" s="35"/>
      <c r="AC57" s="35">
        <f t="shared" si="168"/>
        <v>27633</v>
      </c>
      <c r="AD57" s="35">
        <v>26100</v>
      </c>
      <c r="AE57" s="35">
        <v>750</v>
      </c>
      <c r="AF57" s="35">
        <v>783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>
        <f t="shared" si="1"/>
        <v>27633</v>
      </c>
      <c r="AQ57" s="35">
        <f t="shared" si="169"/>
        <v>82899</v>
      </c>
      <c r="AR57" s="35">
        <v>26100</v>
      </c>
      <c r="AS57" s="35">
        <v>750</v>
      </c>
      <c r="AT57" s="35">
        <v>783</v>
      </c>
      <c r="AU57" s="35"/>
      <c r="AV57" s="35"/>
      <c r="AW57" s="35"/>
      <c r="AX57" s="35"/>
      <c r="AY57" s="35"/>
      <c r="AZ57" s="35"/>
      <c r="BA57" s="35"/>
      <c r="BB57" s="35"/>
      <c r="BC57" s="35"/>
      <c r="BD57" s="35">
        <f t="shared" si="6"/>
        <v>27633</v>
      </c>
      <c r="BE57" s="35">
        <v>26100</v>
      </c>
      <c r="BF57" s="35">
        <v>750</v>
      </c>
      <c r="BG57" s="35">
        <v>783</v>
      </c>
      <c r="BH57" s="35"/>
      <c r="BI57" s="35"/>
      <c r="BJ57" s="35"/>
      <c r="BK57" s="35"/>
      <c r="BL57" s="35"/>
      <c r="BM57" s="35"/>
      <c r="BN57" s="35"/>
      <c r="BO57" s="35"/>
      <c r="BP57" s="35"/>
      <c r="BQ57" s="35">
        <f t="shared" si="7"/>
        <v>27633</v>
      </c>
      <c r="BR57" s="35">
        <v>26100</v>
      </c>
      <c r="BS57" s="35">
        <v>750</v>
      </c>
      <c r="BT57" s="35">
        <v>783</v>
      </c>
      <c r="BU57" s="35"/>
      <c r="BV57" s="35"/>
      <c r="BW57" s="35"/>
      <c r="BX57" s="35"/>
      <c r="BY57" s="35"/>
      <c r="BZ57" s="35"/>
      <c r="CA57" s="35"/>
      <c r="CB57" s="35"/>
      <c r="CC57" s="35"/>
      <c r="CD57" s="35">
        <f t="shared" si="8"/>
        <v>27633</v>
      </c>
      <c r="CE57" s="35">
        <f t="shared" si="9"/>
        <v>82899</v>
      </c>
      <c r="CF57" s="35">
        <f>27410+(1310*6)</f>
        <v>35270</v>
      </c>
      <c r="CG57" s="35">
        <v>750</v>
      </c>
      <c r="CH57" s="35">
        <f>822+(39*6)</f>
        <v>1056</v>
      </c>
      <c r="CI57" s="35"/>
      <c r="CJ57" s="35"/>
      <c r="CK57" s="35"/>
      <c r="CL57" s="35"/>
      <c r="CM57" s="35"/>
      <c r="CN57" s="35"/>
      <c r="CO57" s="35"/>
      <c r="CP57" s="35"/>
      <c r="CQ57" s="35"/>
      <c r="CR57" s="35">
        <f t="shared" si="10"/>
        <v>37076</v>
      </c>
      <c r="CS57" s="35">
        <f>27410+2220*6</f>
        <v>40730</v>
      </c>
      <c r="CT57" s="35">
        <v>750</v>
      </c>
      <c r="CU57" s="35">
        <f>822+67*6</f>
        <v>1224</v>
      </c>
      <c r="CV57" s="35"/>
      <c r="CW57" s="35"/>
      <c r="CX57" s="35"/>
      <c r="CY57" s="35"/>
      <c r="CZ57" s="35"/>
      <c r="DA57" s="35"/>
      <c r="DB57" s="35"/>
      <c r="DC57" s="35"/>
      <c r="DD57" s="35"/>
      <c r="DE57" s="35">
        <f t="shared" si="3"/>
        <v>42704</v>
      </c>
      <c r="DF57" s="35">
        <v>27410</v>
      </c>
      <c r="DG57" s="35">
        <v>750</v>
      </c>
      <c r="DH57" s="35">
        <v>822</v>
      </c>
      <c r="DI57" s="35"/>
      <c r="DJ57" s="35"/>
      <c r="DK57" s="35"/>
      <c r="DL57" s="35"/>
      <c r="DM57" s="35"/>
      <c r="DN57" s="35"/>
      <c r="DO57" s="35"/>
      <c r="DP57" s="35"/>
      <c r="DQ57" s="35"/>
      <c r="DR57" s="35">
        <f t="shared" si="11"/>
        <v>28982</v>
      </c>
      <c r="DS57" s="35">
        <f t="shared" si="12"/>
        <v>108762</v>
      </c>
      <c r="DT57" s="35">
        <v>29630</v>
      </c>
      <c r="DU57" s="35">
        <v>750</v>
      </c>
      <c r="DV57" s="35">
        <v>889</v>
      </c>
      <c r="DW57" s="35"/>
      <c r="DX57" s="35"/>
      <c r="DY57" s="35"/>
      <c r="DZ57" s="35"/>
      <c r="EA57" s="35"/>
      <c r="EB57" s="35"/>
      <c r="EC57" s="35"/>
      <c r="ED57" s="35"/>
      <c r="EE57" s="35"/>
      <c r="EF57" s="35">
        <f t="shared" si="13"/>
        <v>31269</v>
      </c>
      <c r="EG57" s="35">
        <v>29630</v>
      </c>
      <c r="EH57" s="35">
        <v>750</v>
      </c>
      <c r="EI57" s="35">
        <v>889</v>
      </c>
      <c r="EJ57" s="35"/>
      <c r="EK57" s="35"/>
      <c r="EL57" s="35"/>
      <c r="EM57" s="35"/>
      <c r="EN57" s="35"/>
      <c r="EO57" s="35"/>
      <c r="EP57" s="35"/>
      <c r="EQ57" s="35"/>
      <c r="ER57" s="35"/>
      <c r="ES57" s="35">
        <f t="shared" si="4"/>
        <v>31269</v>
      </c>
      <c r="ET57" s="35">
        <v>29630</v>
      </c>
      <c r="EU57" s="35">
        <v>750</v>
      </c>
      <c r="EV57" s="35">
        <v>889</v>
      </c>
      <c r="EW57" s="35"/>
      <c r="EX57" s="35"/>
      <c r="EY57" s="35"/>
      <c r="EZ57" s="35"/>
      <c r="FA57" s="35"/>
      <c r="FB57" s="35"/>
      <c r="FC57" s="35"/>
      <c r="FD57" s="35"/>
      <c r="FE57" s="35"/>
      <c r="FF57" s="35">
        <f t="shared" si="14"/>
        <v>31269</v>
      </c>
      <c r="FG57" s="35">
        <f t="shared" si="15"/>
        <v>93807</v>
      </c>
      <c r="FH57" s="35">
        <f t="shared" si="16"/>
        <v>368367</v>
      </c>
    </row>
    <row r="58" spans="1:164" x14ac:dyDescent="0.35">
      <c r="A58" s="34"/>
      <c r="B58" s="40"/>
      <c r="C58" s="41" t="s">
        <v>164</v>
      </c>
      <c r="D58" s="35">
        <v>25090</v>
      </c>
      <c r="E58" s="35">
        <v>750</v>
      </c>
      <c r="F58" s="35">
        <v>0</v>
      </c>
      <c r="G58" s="35"/>
      <c r="H58" s="35"/>
      <c r="I58" s="35"/>
      <c r="J58" s="35"/>
      <c r="K58" s="35"/>
      <c r="L58" s="35"/>
      <c r="M58" s="35"/>
      <c r="N58" s="35"/>
      <c r="O58" s="35"/>
      <c r="P58" s="35">
        <f t="shared" si="5"/>
        <v>25840</v>
      </c>
      <c r="Q58" s="35">
        <v>25090</v>
      </c>
      <c r="R58" s="35">
        <v>750</v>
      </c>
      <c r="S58" s="35">
        <v>0</v>
      </c>
      <c r="T58" s="35"/>
      <c r="U58" s="35"/>
      <c r="V58" s="35"/>
      <c r="W58" s="35"/>
      <c r="X58" s="35"/>
      <c r="Y58" s="35"/>
      <c r="Z58" s="35"/>
      <c r="AA58" s="35"/>
      <c r="AB58" s="35"/>
      <c r="AC58" s="35">
        <f t="shared" si="168"/>
        <v>25840</v>
      </c>
      <c r="AD58" s="35">
        <v>25090</v>
      </c>
      <c r="AE58" s="35">
        <v>750</v>
      </c>
      <c r="AF58" s="35">
        <v>0</v>
      </c>
      <c r="AG58" s="35"/>
      <c r="AH58" s="35"/>
      <c r="AI58" s="35"/>
      <c r="AJ58" s="35"/>
      <c r="AK58" s="35"/>
      <c r="AL58" s="35"/>
      <c r="AM58" s="35"/>
      <c r="AN58" s="35"/>
      <c r="AO58" s="35"/>
      <c r="AP58" s="35">
        <f t="shared" si="1"/>
        <v>25840</v>
      </c>
      <c r="AQ58" s="35">
        <f t="shared" si="169"/>
        <v>77520</v>
      </c>
      <c r="AR58" s="35">
        <v>25090</v>
      </c>
      <c r="AS58" s="35">
        <v>750</v>
      </c>
      <c r="AT58" s="35">
        <v>0</v>
      </c>
      <c r="AU58" s="35"/>
      <c r="AV58" s="35"/>
      <c r="AW58" s="35"/>
      <c r="AX58" s="35"/>
      <c r="AY58" s="35"/>
      <c r="AZ58" s="35"/>
      <c r="BA58" s="35"/>
      <c r="BB58" s="35"/>
      <c r="BC58" s="35"/>
      <c r="BD58" s="35">
        <f t="shared" si="6"/>
        <v>25840</v>
      </c>
      <c r="BE58" s="35">
        <v>25090</v>
      </c>
      <c r="BF58" s="35">
        <v>750</v>
      </c>
      <c r="BG58" s="35">
        <v>0</v>
      </c>
      <c r="BH58" s="35"/>
      <c r="BI58" s="35"/>
      <c r="BJ58" s="35"/>
      <c r="BK58" s="35"/>
      <c r="BL58" s="35"/>
      <c r="BM58" s="35"/>
      <c r="BN58" s="35"/>
      <c r="BO58" s="35"/>
      <c r="BP58" s="35"/>
      <c r="BQ58" s="35">
        <f t="shared" si="7"/>
        <v>25840</v>
      </c>
      <c r="BR58" s="35">
        <v>25090</v>
      </c>
      <c r="BS58" s="35">
        <v>750</v>
      </c>
      <c r="BT58" s="35">
        <v>0</v>
      </c>
      <c r="BU58" s="35"/>
      <c r="BV58" s="35"/>
      <c r="BW58" s="35"/>
      <c r="BX58" s="35"/>
      <c r="BY58" s="35"/>
      <c r="BZ58" s="35"/>
      <c r="CA58" s="35"/>
      <c r="CB58" s="35"/>
      <c r="CC58" s="35"/>
      <c r="CD58" s="35">
        <f t="shared" si="8"/>
        <v>25840</v>
      </c>
      <c r="CE58" s="35">
        <f t="shared" si="9"/>
        <v>77520</v>
      </c>
      <c r="CF58" s="35">
        <f>26350+(1260*6)</f>
        <v>33910</v>
      </c>
      <c r="CG58" s="35">
        <v>750</v>
      </c>
      <c r="CH58" s="35">
        <v>0</v>
      </c>
      <c r="CI58" s="35"/>
      <c r="CJ58" s="35"/>
      <c r="CK58" s="35"/>
      <c r="CL58" s="35"/>
      <c r="CM58" s="35"/>
      <c r="CN58" s="35"/>
      <c r="CO58" s="35"/>
      <c r="CP58" s="35"/>
      <c r="CQ58" s="35"/>
      <c r="CR58" s="35">
        <f t="shared" si="10"/>
        <v>34660</v>
      </c>
      <c r="CS58" s="35">
        <f>26350+1990*6</f>
        <v>38290</v>
      </c>
      <c r="CT58" s="35">
        <v>750</v>
      </c>
      <c r="CU58" s="35">
        <v>0</v>
      </c>
      <c r="CV58" s="35"/>
      <c r="CW58" s="35"/>
      <c r="CX58" s="35"/>
      <c r="CY58" s="35"/>
      <c r="CZ58" s="35"/>
      <c r="DA58" s="35"/>
      <c r="DB58" s="35"/>
      <c r="DC58" s="35"/>
      <c r="DD58" s="35"/>
      <c r="DE58" s="35">
        <f t="shared" si="3"/>
        <v>39040</v>
      </c>
      <c r="DF58" s="35">
        <v>26350</v>
      </c>
      <c r="DG58" s="35">
        <v>750</v>
      </c>
      <c r="DH58" s="35">
        <v>0</v>
      </c>
      <c r="DI58" s="35"/>
      <c r="DJ58" s="35"/>
      <c r="DK58" s="35"/>
      <c r="DL58" s="35"/>
      <c r="DM58" s="35"/>
      <c r="DN58" s="35"/>
      <c r="DO58" s="35"/>
      <c r="DP58" s="35"/>
      <c r="DQ58" s="35"/>
      <c r="DR58" s="35">
        <f t="shared" si="11"/>
        <v>27100</v>
      </c>
      <c r="DS58" s="35">
        <f t="shared" si="12"/>
        <v>100800</v>
      </c>
      <c r="DT58" s="35">
        <v>28340</v>
      </c>
      <c r="DU58" s="35">
        <v>750</v>
      </c>
      <c r="DV58" s="35">
        <v>850</v>
      </c>
      <c r="DW58" s="35"/>
      <c r="DX58" s="35"/>
      <c r="DY58" s="35"/>
      <c r="DZ58" s="35"/>
      <c r="EA58" s="35"/>
      <c r="EB58" s="35"/>
      <c r="EC58" s="35"/>
      <c r="ED58" s="35"/>
      <c r="EE58" s="35"/>
      <c r="EF58" s="35">
        <f t="shared" si="13"/>
        <v>29940</v>
      </c>
      <c r="EG58" s="35">
        <v>28340</v>
      </c>
      <c r="EH58" s="35">
        <v>750</v>
      </c>
      <c r="EI58" s="35">
        <v>850</v>
      </c>
      <c r="EJ58" s="35"/>
      <c r="EK58" s="35"/>
      <c r="EL58" s="35"/>
      <c r="EM58" s="35"/>
      <c r="EN58" s="35"/>
      <c r="EO58" s="35"/>
      <c r="EP58" s="35"/>
      <c r="EQ58" s="35"/>
      <c r="ER58" s="35"/>
      <c r="ES58" s="35">
        <f t="shared" si="4"/>
        <v>29940</v>
      </c>
      <c r="ET58" s="35">
        <v>28340</v>
      </c>
      <c r="EU58" s="35">
        <v>750</v>
      </c>
      <c r="EV58" s="35">
        <v>850</v>
      </c>
      <c r="EW58" s="35"/>
      <c r="EX58" s="35"/>
      <c r="EY58" s="35"/>
      <c r="EZ58" s="35"/>
      <c r="FA58" s="35"/>
      <c r="FB58" s="35"/>
      <c r="FC58" s="35"/>
      <c r="FD58" s="35"/>
      <c r="FE58" s="35"/>
      <c r="FF58" s="35">
        <f t="shared" si="14"/>
        <v>29940</v>
      </c>
      <c r="FG58" s="35">
        <f t="shared" si="15"/>
        <v>89820</v>
      </c>
      <c r="FH58" s="35">
        <f t="shared" si="16"/>
        <v>345660</v>
      </c>
    </row>
    <row r="59" spans="1:164" x14ac:dyDescent="0.35">
      <c r="A59" s="34"/>
      <c r="B59" s="40"/>
      <c r="C59" s="41" t="s">
        <v>165</v>
      </c>
      <c r="D59" s="35">
        <v>23890</v>
      </c>
      <c r="E59" s="35">
        <v>750</v>
      </c>
      <c r="F59" s="35">
        <v>717</v>
      </c>
      <c r="G59" s="35"/>
      <c r="H59" s="35"/>
      <c r="I59" s="35"/>
      <c r="J59" s="35"/>
      <c r="K59" s="35"/>
      <c r="L59" s="35"/>
      <c r="M59" s="35"/>
      <c r="N59" s="35"/>
      <c r="O59" s="35"/>
      <c r="P59" s="35">
        <f t="shared" si="5"/>
        <v>25357</v>
      </c>
      <c r="Q59" s="35">
        <v>23890</v>
      </c>
      <c r="R59" s="35">
        <v>750</v>
      </c>
      <c r="S59" s="35">
        <v>717</v>
      </c>
      <c r="T59" s="35"/>
      <c r="U59" s="35"/>
      <c r="V59" s="35"/>
      <c r="W59" s="35"/>
      <c r="X59" s="35"/>
      <c r="Y59" s="35"/>
      <c r="Z59" s="35"/>
      <c r="AA59" s="35"/>
      <c r="AB59" s="35"/>
      <c r="AC59" s="35">
        <f t="shared" si="168"/>
        <v>25357</v>
      </c>
      <c r="AD59" s="35">
        <v>23890</v>
      </c>
      <c r="AE59" s="35">
        <v>750</v>
      </c>
      <c r="AF59" s="35">
        <v>717</v>
      </c>
      <c r="AG59" s="35"/>
      <c r="AH59" s="35"/>
      <c r="AI59" s="35"/>
      <c r="AJ59" s="35"/>
      <c r="AK59" s="35"/>
      <c r="AL59" s="35"/>
      <c r="AM59" s="35"/>
      <c r="AN59" s="35"/>
      <c r="AO59" s="35"/>
      <c r="AP59" s="35">
        <f t="shared" si="1"/>
        <v>25357</v>
      </c>
      <c r="AQ59" s="35">
        <f t="shared" si="169"/>
        <v>76071</v>
      </c>
      <c r="AR59" s="35">
        <v>23890</v>
      </c>
      <c r="AS59" s="35">
        <v>750</v>
      </c>
      <c r="AT59" s="35">
        <v>717</v>
      </c>
      <c r="AU59" s="35"/>
      <c r="AV59" s="35"/>
      <c r="AW59" s="35"/>
      <c r="AX59" s="35"/>
      <c r="AY59" s="35"/>
      <c r="AZ59" s="35"/>
      <c r="BA59" s="35"/>
      <c r="BB59" s="35"/>
      <c r="BC59" s="35"/>
      <c r="BD59" s="35">
        <f t="shared" si="6"/>
        <v>25357</v>
      </c>
      <c r="BE59" s="35">
        <v>23890</v>
      </c>
      <c r="BF59" s="35">
        <v>750</v>
      </c>
      <c r="BG59" s="35">
        <v>717</v>
      </c>
      <c r="BH59" s="35"/>
      <c r="BI59" s="35"/>
      <c r="BJ59" s="35"/>
      <c r="BK59" s="35"/>
      <c r="BL59" s="35"/>
      <c r="BM59" s="35"/>
      <c r="BN59" s="35"/>
      <c r="BO59" s="35"/>
      <c r="BP59" s="35"/>
      <c r="BQ59" s="35">
        <f t="shared" si="7"/>
        <v>25357</v>
      </c>
      <c r="BR59" s="35">
        <v>23890</v>
      </c>
      <c r="BS59" s="35">
        <v>750</v>
      </c>
      <c r="BT59" s="35">
        <v>717</v>
      </c>
      <c r="BU59" s="35"/>
      <c r="BV59" s="35"/>
      <c r="BW59" s="35"/>
      <c r="BX59" s="35"/>
      <c r="BY59" s="35"/>
      <c r="BZ59" s="35"/>
      <c r="CA59" s="35"/>
      <c r="CB59" s="35"/>
      <c r="CC59" s="35"/>
      <c r="CD59" s="35">
        <f t="shared" si="8"/>
        <v>25357</v>
      </c>
      <c r="CE59" s="35">
        <f t="shared" si="9"/>
        <v>76071</v>
      </c>
      <c r="CF59" s="35">
        <f>25090+(1200*6)</f>
        <v>32290</v>
      </c>
      <c r="CG59" s="35">
        <v>750</v>
      </c>
      <c r="CH59" s="35">
        <f>753+(36*6)</f>
        <v>969</v>
      </c>
      <c r="CI59" s="35"/>
      <c r="CJ59" s="35"/>
      <c r="CK59" s="35"/>
      <c r="CL59" s="35"/>
      <c r="CM59" s="35"/>
      <c r="CN59" s="35"/>
      <c r="CO59" s="35"/>
      <c r="CP59" s="35"/>
      <c r="CQ59" s="35"/>
      <c r="CR59" s="35">
        <f t="shared" si="10"/>
        <v>34009</v>
      </c>
      <c r="CS59" s="35">
        <f>25090+6960+1870*6</f>
        <v>43270</v>
      </c>
      <c r="CT59" s="35">
        <v>750</v>
      </c>
      <c r="CU59" s="35">
        <f>753+210+56*6</f>
        <v>1299</v>
      </c>
      <c r="CV59" s="35"/>
      <c r="CW59" s="35"/>
      <c r="CX59" s="35"/>
      <c r="CY59" s="35"/>
      <c r="CZ59" s="35"/>
      <c r="DA59" s="35"/>
      <c r="DB59" s="35"/>
      <c r="DC59" s="35"/>
      <c r="DD59" s="35"/>
      <c r="DE59" s="35">
        <f t="shared" si="3"/>
        <v>45319</v>
      </c>
      <c r="DF59" s="35">
        <v>25090</v>
      </c>
      <c r="DG59" s="35">
        <v>750</v>
      </c>
      <c r="DH59" s="35">
        <v>753</v>
      </c>
      <c r="DI59" s="35"/>
      <c r="DJ59" s="35"/>
      <c r="DK59" s="35"/>
      <c r="DL59" s="35"/>
      <c r="DM59" s="35"/>
      <c r="DN59" s="35"/>
      <c r="DO59" s="35"/>
      <c r="DP59" s="35"/>
      <c r="DQ59" s="35"/>
      <c r="DR59" s="35">
        <f t="shared" si="11"/>
        <v>26593</v>
      </c>
      <c r="DS59" s="35">
        <f t="shared" si="12"/>
        <v>105921</v>
      </c>
      <c r="DT59" s="35">
        <v>28120</v>
      </c>
      <c r="DU59" s="35">
        <v>750</v>
      </c>
      <c r="DV59" s="35">
        <v>844</v>
      </c>
      <c r="DW59" s="35"/>
      <c r="DX59" s="35"/>
      <c r="DY59" s="35"/>
      <c r="DZ59" s="35"/>
      <c r="EA59" s="35"/>
      <c r="EB59" s="35"/>
      <c r="EC59" s="35"/>
      <c r="ED59" s="35"/>
      <c r="EE59" s="35"/>
      <c r="EF59" s="35">
        <f t="shared" si="13"/>
        <v>29714</v>
      </c>
      <c r="EG59" s="35">
        <v>28120</v>
      </c>
      <c r="EH59" s="35">
        <v>750</v>
      </c>
      <c r="EI59" s="35">
        <v>844</v>
      </c>
      <c r="EJ59" s="35"/>
      <c r="EK59" s="35"/>
      <c r="EL59" s="35"/>
      <c r="EM59" s="35"/>
      <c r="EN59" s="35"/>
      <c r="EO59" s="35"/>
      <c r="EP59" s="35"/>
      <c r="EQ59" s="35"/>
      <c r="ER59" s="35"/>
      <c r="ES59" s="35">
        <f t="shared" si="4"/>
        <v>29714</v>
      </c>
      <c r="ET59" s="35">
        <v>28120</v>
      </c>
      <c r="EU59" s="35">
        <v>750</v>
      </c>
      <c r="EV59" s="35">
        <v>844</v>
      </c>
      <c r="EW59" s="35"/>
      <c r="EX59" s="35"/>
      <c r="EY59" s="35"/>
      <c r="EZ59" s="35"/>
      <c r="FA59" s="35"/>
      <c r="FB59" s="35"/>
      <c r="FC59" s="35"/>
      <c r="FD59" s="35"/>
      <c r="FE59" s="35"/>
      <c r="FF59" s="35">
        <f t="shared" si="14"/>
        <v>29714</v>
      </c>
      <c r="FG59" s="35">
        <f t="shared" si="15"/>
        <v>89142</v>
      </c>
      <c r="FH59" s="35">
        <f t="shared" si="16"/>
        <v>347205</v>
      </c>
    </row>
    <row r="60" spans="1:164" x14ac:dyDescent="0.35">
      <c r="A60" s="34"/>
      <c r="B60" s="40"/>
      <c r="C60" s="41" t="s">
        <v>166</v>
      </c>
      <c r="D60" s="35">
        <v>23890</v>
      </c>
      <c r="E60" s="35">
        <v>750</v>
      </c>
      <c r="F60" s="35">
        <v>717</v>
      </c>
      <c r="G60" s="35"/>
      <c r="H60" s="35"/>
      <c r="I60" s="35"/>
      <c r="J60" s="35"/>
      <c r="K60" s="35"/>
      <c r="L60" s="35"/>
      <c r="M60" s="35"/>
      <c r="N60" s="35"/>
      <c r="O60" s="35"/>
      <c r="P60" s="35">
        <f t="shared" si="5"/>
        <v>25357</v>
      </c>
      <c r="Q60" s="35">
        <v>23890</v>
      </c>
      <c r="R60" s="35">
        <v>750</v>
      </c>
      <c r="S60" s="35">
        <v>717</v>
      </c>
      <c r="T60" s="35"/>
      <c r="U60" s="35"/>
      <c r="V60" s="35"/>
      <c r="W60" s="35"/>
      <c r="X60" s="35"/>
      <c r="Y60" s="35"/>
      <c r="Z60" s="35"/>
      <c r="AA60" s="35"/>
      <c r="AB60" s="35"/>
      <c r="AC60" s="35">
        <f t="shared" si="168"/>
        <v>25357</v>
      </c>
      <c r="AD60" s="35">
        <v>23890</v>
      </c>
      <c r="AE60" s="35">
        <v>750</v>
      </c>
      <c r="AF60" s="35">
        <v>717</v>
      </c>
      <c r="AG60" s="35"/>
      <c r="AH60" s="35"/>
      <c r="AI60" s="35"/>
      <c r="AJ60" s="35"/>
      <c r="AK60" s="35"/>
      <c r="AL60" s="35"/>
      <c r="AM60" s="35"/>
      <c r="AN60" s="35"/>
      <c r="AO60" s="35"/>
      <c r="AP60" s="35">
        <f t="shared" si="1"/>
        <v>25357</v>
      </c>
      <c r="AQ60" s="35">
        <f t="shared" si="169"/>
        <v>76071</v>
      </c>
      <c r="AR60" s="35">
        <v>23890</v>
      </c>
      <c r="AS60" s="35">
        <v>750</v>
      </c>
      <c r="AT60" s="35">
        <v>717</v>
      </c>
      <c r="AU60" s="35"/>
      <c r="AV60" s="35"/>
      <c r="AW60" s="35"/>
      <c r="AX60" s="35"/>
      <c r="AY60" s="35"/>
      <c r="AZ60" s="35"/>
      <c r="BA60" s="35"/>
      <c r="BB60" s="35"/>
      <c r="BC60" s="35"/>
      <c r="BD60" s="35">
        <f t="shared" si="6"/>
        <v>25357</v>
      </c>
      <c r="BE60" s="35">
        <v>23890</v>
      </c>
      <c r="BF60" s="35">
        <v>750</v>
      </c>
      <c r="BG60" s="35">
        <v>717</v>
      </c>
      <c r="BH60" s="35"/>
      <c r="BI60" s="35"/>
      <c r="BJ60" s="35"/>
      <c r="BK60" s="35"/>
      <c r="BL60" s="35"/>
      <c r="BM60" s="35"/>
      <c r="BN60" s="35"/>
      <c r="BO60" s="35"/>
      <c r="BP60" s="35"/>
      <c r="BQ60" s="35">
        <f t="shared" si="7"/>
        <v>25357</v>
      </c>
      <c r="BR60" s="35">
        <v>23890</v>
      </c>
      <c r="BS60" s="35">
        <v>750</v>
      </c>
      <c r="BT60" s="35">
        <v>717</v>
      </c>
      <c r="BU60" s="35"/>
      <c r="BV60" s="35"/>
      <c r="BW60" s="35"/>
      <c r="BX60" s="35"/>
      <c r="BY60" s="35"/>
      <c r="BZ60" s="35"/>
      <c r="CA60" s="35"/>
      <c r="CB60" s="35"/>
      <c r="CC60" s="35"/>
      <c r="CD60" s="35">
        <f t="shared" si="8"/>
        <v>25357</v>
      </c>
      <c r="CE60" s="35">
        <f t="shared" si="9"/>
        <v>76071</v>
      </c>
      <c r="CF60" s="35">
        <f>25090+(1200*6)</f>
        <v>32290</v>
      </c>
      <c r="CG60" s="35">
        <v>750</v>
      </c>
      <c r="CH60" s="35">
        <f>753+(36*6)</f>
        <v>969</v>
      </c>
      <c r="CI60" s="35"/>
      <c r="CJ60" s="35"/>
      <c r="CK60" s="35"/>
      <c r="CL60" s="35"/>
      <c r="CM60" s="35"/>
      <c r="CN60" s="35"/>
      <c r="CO60" s="35"/>
      <c r="CP60" s="35"/>
      <c r="CQ60" s="35"/>
      <c r="CR60" s="35">
        <f t="shared" si="10"/>
        <v>34009</v>
      </c>
      <c r="CS60" s="35">
        <f>25090+6960+1870*6</f>
        <v>43270</v>
      </c>
      <c r="CT60" s="35">
        <v>750</v>
      </c>
      <c r="CU60" s="35">
        <f>753+210+56*6</f>
        <v>1299</v>
      </c>
      <c r="CV60" s="35"/>
      <c r="CW60" s="35"/>
      <c r="CX60" s="35"/>
      <c r="CY60" s="35"/>
      <c r="CZ60" s="35"/>
      <c r="DA60" s="35"/>
      <c r="DB60" s="35"/>
      <c r="DC60" s="35"/>
      <c r="DD60" s="35"/>
      <c r="DE60" s="35">
        <f t="shared" si="3"/>
        <v>45319</v>
      </c>
      <c r="DF60" s="35">
        <v>25090</v>
      </c>
      <c r="DG60" s="35">
        <v>750</v>
      </c>
      <c r="DH60" s="35">
        <v>753</v>
      </c>
      <c r="DI60" s="35"/>
      <c r="DJ60" s="35"/>
      <c r="DK60" s="35"/>
      <c r="DL60" s="35"/>
      <c r="DM60" s="35"/>
      <c r="DN60" s="35"/>
      <c r="DO60" s="35"/>
      <c r="DP60" s="35"/>
      <c r="DQ60" s="35"/>
      <c r="DR60" s="35">
        <f t="shared" si="11"/>
        <v>26593</v>
      </c>
      <c r="DS60" s="35">
        <f t="shared" si="12"/>
        <v>105921</v>
      </c>
      <c r="DT60" s="35">
        <v>28120</v>
      </c>
      <c r="DU60" s="35">
        <v>750</v>
      </c>
      <c r="DV60" s="35">
        <v>844</v>
      </c>
      <c r="DW60" s="35"/>
      <c r="DX60" s="35"/>
      <c r="DY60" s="35"/>
      <c r="DZ60" s="35"/>
      <c r="EA60" s="35"/>
      <c r="EB60" s="35"/>
      <c r="EC60" s="35"/>
      <c r="ED60" s="35"/>
      <c r="EE60" s="35"/>
      <c r="EF60" s="35">
        <f t="shared" si="13"/>
        <v>29714</v>
      </c>
      <c r="EG60" s="35">
        <v>28120</v>
      </c>
      <c r="EH60" s="35">
        <v>750</v>
      </c>
      <c r="EI60" s="35">
        <v>844</v>
      </c>
      <c r="EJ60" s="35"/>
      <c r="EK60" s="35"/>
      <c r="EL60" s="35"/>
      <c r="EM60" s="35"/>
      <c r="EN60" s="35"/>
      <c r="EO60" s="35"/>
      <c r="EP60" s="35"/>
      <c r="EQ60" s="35"/>
      <c r="ER60" s="35"/>
      <c r="ES60" s="35">
        <f t="shared" si="4"/>
        <v>29714</v>
      </c>
      <c r="ET60" s="35">
        <v>28120</v>
      </c>
      <c r="EU60" s="35">
        <v>750</v>
      </c>
      <c r="EV60" s="35">
        <v>844</v>
      </c>
      <c r="EW60" s="35"/>
      <c r="EX60" s="35"/>
      <c r="EY60" s="35"/>
      <c r="EZ60" s="35"/>
      <c r="FA60" s="35"/>
      <c r="FB60" s="35"/>
      <c r="FC60" s="35"/>
      <c r="FD60" s="35"/>
      <c r="FE60" s="35"/>
      <c r="FF60" s="35">
        <f t="shared" si="14"/>
        <v>29714</v>
      </c>
      <c r="FG60" s="35">
        <f t="shared" si="15"/>
        <v>89142</v>
      </c>
      <c r="FH60" s="35">
        <f t="shared" si="16"/>
        <v>347205</v>
      </c>
    </row>
    <row r="61" spans="1:164" x14ac:dyDescent="0.35">
      <c r="A61" s="34"/>
      <c r="B61" s="40"/>
      <c r="C61" s="41" t="s">
        <v>167</v>
      </c>
      <c r="D61" s="35">
        <v>28670</v>
      </c>
      <c r="E61" s="35">
        <v>750</v>
      </c>
      <c r="F61" s="35">
        <v>860</v>
      </c>
      <c r="G61" s="35"/>
      <c r="H61" s="35"/>
      <c r="I61" s="35"/>
      <c r="J61" s="35"/>
      <c r="K61" s="35"/>
      <c r="L61" s="35"/>
      <c r="M61" s="35"/>
      <c r="N61" s="35"/>
      <c r="O61" s="35"/>
      <c r="P61" s="35">
        <f t="shared" si="5"/>
        <v>30280</v>
      </c>
      <c r="Q61" s="35">
        <v>28670</v>
      </c>
      <c r="R61" s="35">
        <v>750</v>
      </c>
      <c r="S61" s="35">
        <v>860</v>
      </c>
      <c r="T61" s="35"/>
      <c r="U61" s="35"/>
      <c r="V61" s="35"/>
      <c r="W61" s="35"/>
      <c r="X61" s="35"/>
      <c r="Y61" s="35"/>
      <c r="Z61" s="35"/>
      <c r="AA61" s="35"/>
      <c r="AB61" s="35"/>
      <c r="AC61" s="35">
        <f t="shared" si="168"/>
        <v>30280</v>
      </c>
      <c r="AD61" s="35">
        <v>28670</v>
      </c>
      <c r="AE61" s="35">
        <v>750</v>
      </c>
      <c r="AF61" s="35">
        <v>860</v>
      </c>
      <c r="AG61" s="35"/>
      <c r="AH61" s="35"/>
      <c r="AI61" s="35"/>
      <c r="AJ61" s="35"/>
      <c r="AK61" s="35"/>
      <c r="AL61" s="35"/>
      <c r="AM61" s="35"/>
      <c r="AN61" s="35"/>
      <c r="AO61" s="35"/>
      <c r="AP61" s="35">
        <f t="shared" si="1"/>
        <v>30280</v>
      </c>
      <c r="AQ61" s="35">
        <f t="shared" si="169"/>
        <v>90840</v>
      </c>
      <c r="AR61" s="35">
        <v>28670</v>
      </c>
      <c r="AS61" s="35">
        <v>750</v>
      </c>
      <c r="AT61" s="35">
        <v>860</v>
      </c>
      <c r="AU61" s="35"/>
      <c r="AV61" s="35"/>
      <c r="AW61" s="35"/>
      <c r="AX61" s="35"/>
      <c r="AY61" s="35"/>
      <c r="AZ61" s="35"/>
      <c r="BA61" s="35"/>
      <c r="BB61" s="35"/>
      <c r="BC61" s="35"/>
      <c r="BD61" s="35">
        <f t="shared" si="6"/>
        <v>30280</v>
      </c>
      <c r="BE61" s="35">
        <v>28670</v>
      </c>
      <c r="BF61" s="35">
        <v>750</v>
      </c>
      <c r="BG61" s="35">
        <v>860</v>
      </c>
      <c r="BH61" s="35"/>
      <c r="BI61" s="35"/>
      <c r="BJ61" s="35"/>
      <c r="BK61" s="35"/>
      <c r="BL61" s="35"/>
      <c r="BM61" s="35"/>
      <c r="BN61" s="35"/>
      <c r="BO61" s="35"/>
      <c r="BP61" s="35"/>
      <c r="BQ61" s="35">
        <f t="shared" si="7"/>
        <v>30280</v>
      </c>
      <c r="BR61" s="35">
        <v>28670</v>
      </c>
      <c r="BS61" s="35">
        <v>750</v>
      </c>
      <c r="BT61" s="35">
        <v>860</v>
      </c>
      <c r="BU61" s="35"/>
      <c r="BV61" s="35"/>
      <c r="BW61" s="35"/>
      <c r="BX61" s="35"/>
      <c r="BY61" s="35"/>
      <c r="BZ61" s="35"/>
      <c r="CA61" s="35"/>
      <c r="CB61" s="35"/>
      <c r="CC61" s="35"/>
      <c r="CD61" s="35">
        <f t="shared" si="8"/>
        <v>30280</v>
      </c>
      <c r="CE61" s="35">
        <f t="shared" si="9"/>
        <v>90840</v>
      </c>
      <c r="CF61" s="35">
        <f>30110+(1440*6)</f>
        <v>38750</v>
      </c>
      <c r="CG61" s="35">
        <v>750</v>
      </c>
      <c r="CH61" s="35">
        <f>903+(43*6)</f>
        <v>1161</v>
      </c>
      <c r="CI61" s="35"/>
      <c r="CJ61" s="35"/>
      <c r="CK61" s="35"/>
      <c r="CL61" s="35"/>
      <c r="CM61" s="35"/>
      <c r="CN61" s="35"/>
      <c r="CO61" s="35"/>
      <c r="CP61" s="35"/>
      <c r="CQ61" s="35"/>
      <c r="CR61" s="35">
        <f t="shared" si="10"/>
        <v>40661</v>
      </c>
      <c r="CS61" s="35">
        <f>30110+8340+2250*6</f>
        <v>51950</v>
      </c>
      <c r="CT61" s="35">
        <v>750</v>
      </c>
      <c r="CU61" s="35">
        <f>903+252+68*6</f>
        <v>1563</v>
      </c>
      <c r="CV61" s="35"/>
      <c r="CW61" s="35"/>
      <c r="CX61" s="35"/>
      <c r="CY61" s="35"/>
      <c r="CZ61" s="35"/>
      <c r="DA61" s="35"/>
      <c r="DB61" s="35"/>
      <c r="DC61" s="35"/>
      <c r="DD61" s="35"/>
      <c r="DE61" s="35">
        <f t="shared" si="3"/>
        <v>54263</v>
      </c>
      <c r="DF61" s="35">
        <v>30110</v>
      </c>
      <c r="DG61" s="35">
        <v>750</v>
      </c>
      <c r="DH61" s="35">
        <v>903</v>
      </c>
      <c r="DI61" s="35"/>
      <c r="DJ61" s="35"/>
      <c r="DK61" s="35"/>
      <c r="DL61" s="35"/>
      <c r="DM61" s="35"/>
      <c r="DN61" s="35"/>
      <c r="DO61" s="35"/>
      <c r="DP61" s="35"/>
      <c r="DQ61" s="35"/>
      <c r="DR61" s="35">
        <f t="shared" si="11"/>
        <v>31763</v>
      </c>
      <c r="DS61" s="35">
        <f t="shared" si="12"/>
        <v>126687</v>
      </c>
      <c r="DT61" s="35">
        <v>33750</v>
      </c>
      <c r="DU61" s="35">
        <v>750</v>
      </c>
      <c r="DV61" s="35">
        <v>1013</v>
      </c>
      <c r="DW61" s="35"/>
      <c r="DX61" s="35"/>
      <c r="DY61" s="35"/>
      <c r="DZ61" s="35"/>
      <c r="EA61" s="35"/>
      <c r="EB61" s="35"/>
      <c r="EC61" s="35"/>
      <c r="ED61" s="35"/>
      <c r="EE61" s="35"/>
      <c r="EF61" s="35">
        <f t="shared" si="13"/>
        <v>35513</v>
      </c>
      <c r="EG61" s="35">
        <v>33750</v>
      </c>
      <c r="EH61" s="35">
        <v>750</v>
      </c>
      <c r="EI61" s="35">
        <v>1013</v>
      </c>
      <c r="EJ61" s="35"/>
      <c r="EK61" s="35"/>
      <c r="EL61" s="35"/>
      <c r="EM61" s="35"/>
      <c r="EN61" s="35"/>
      <c r="EO61" s="35"/>
      <c r="EP61" s="35"/>
      <c r="EQ61" s="35"/>
      <c r="ER61" s="35"/>
      <c r="ES61" s="35">
        <f t="shared" si="4"/>
        <v>35513</v>
      </c>
      <c r="ET61" s="35">
        <v>33750</v>
      </c>
      <c r="EU61" s="35">
        <v>750</v>
      </c>
      <c r="EV61" s="35">
        <v>1013</v>
      </c>
      <c r="EW61" s="35"/>
      <c r="EX61" s="35"/>
      <c r="EY61" s="35"/>
      <c r="EZ61" s="35"/>
      <c r="FA61" s="35"/>
      <c r="FB61" s="35"/>
      <c r="FC61" s="35"/>
      <c r="FD61" s="35"/>
      <c r="FE61" s="35"/>
      <c r="FF61" s="35">
        <f t="shared" si="14"/>
        <v>35513</v>
      </c>
      <c r="FG61" s="35">
        <f t="shared" si="15"/>
        <v>106539</v>
      </c>
      <c r="FH61" s="35">
        <f t="shared" si="16"/>
        <v>414906</v>
      </c>
    </row>
    <row r="62" spans="1:164" x14ac:dyDescent="0.35">
      <c r="A62" s="34"/>
      <c r="B62" s="40"/>
      <c r="C62" s="41" t="s">
        <v>168</v>
      </c>
      <c r="D62" s="35">
        <v>23440</v>
      </c>
      <c r="E62" s="35">
        <v>750</v>
      </c>
      <c r="F62" s="35">
        <v>0</v>
      </c>
      <c r="G62" s="35"/>
      <c r="H62" s="35"/>
      <c r="I62" s="35"/>
      <c r="J62" s="35"/>
      <c r="K62" s="35"/>
      <c r="L62" s="35"/>
      <c r="M62" s="35"/>
      <c r="N62" s="35"/>
      <c r="O62" s="35"/>
      <c r="P62" s="35">
        <f t="shared" si="5"/>
        <v>24190</v>
      </c>
      <c r="Q62" s="35">
        <v>23440</v>
      </c>
      <c r="R62" s="35">
        <v>750</v>
      </c>
      <c r="S62" s="35">
        <v>0</v>
      </c>
      <c r="T62" s="35"/>
      <c r="U62" s="35"/>
      <c r="V62" s="35"/>
      <c r="W62" s="35"/>
      <c r="X62" s="35"/>
      <c r="Y62" s="35"/>
      <c r="Z62" s="35"/>
      <c r="AA62" s="35"/>
      <c r="AB62" s="35"/>
      <c r="AC62" s="35">
        <f t="shared" si="168"/>
        <v>24190</v>
      </c>
      <c r="AD62" s="35">
        <v>23440</v>
      </c>
      <c r="AE62" s="35">
        <v>750</v>
      </c>
      <c r="AF62" s="35">
        <v>0</v>
      </c>
      <c r="AG62" s="35"/>
      <c r="AH62" s="35"/>
      <c r="AI62" s="35"/>
      <c r="AJ62" s="35"/>
      <c r="AK62" s="35"/>
      <c r="AL62" s="35"/>
      <c r="AM62" s="35"/>
      <c r="AN62" s="35"/>
      <c r="AO62" s="35"/>
      <c r="AP62" s="35">
        <f t="shared" si="1"/>
        <v>24190</v>
      </c>
      <c r="AQ62" s="35">
        <f t="shared" si="169"/>
        <v>72570</v>
      </c>
      <c r="AR62" s="35">
        <v>23440</v>
      </c>
      <c r="AS62" s="35">
        <v>750</v>
      </c>
      <c r="AT62" s="35">
        <v>0</v>
      </c>
      <c r="AU62" s="35"/>
      <c r="AV62" s="35"/>
      <c r="AW62" s="35"/>
      <c r="AX62" s="35"/>
      <c r="AY62" s="35"/>
      <c r="AZ62" s="35"/>
      <c r="BA62" s="35"/>
      <c r="BB62" s="35"/>
      <c r="BC62" s="35"/>
      <c r="BD62" s="35">
        <f t="shared" si="6"/>
        <v>24190</v>
      </c>
      <c r="BE62" s="35">
        <v>23440</v>
      </c>
      <c r="BF62" s="35">
        <v>750</v>
      </c>
      <c r="BG62" s="35">
        <v>0</v>
      </c>
      <c r="BH62" s="35"/>
      <c r="BI62" s="35"/>
      <c r="BJ62" s="35"/>
      <c r="BK62" s="35"/>
      <c r="BL62" s="35"/>
      <c r="BM62" s="35"/>
      <c r="BN62" s="35"/>
      <c r="BO62" s="35"/>
      <c r="BP62" s="35"/>
      <c r="BQ62" s="35">
        <f t="shared" si="7"/>
        <v>24190</v>
      </c>
      <c r="BR62" s="35">
        <v>23440</v>
      </c>
      <c r="BS62" s="35">
        <v>750</v>
      </c>
      <c r="BT62" s="35">
        <v>0</v>
      </c>
      <c r="BU62" s="35"/>
      <c r="BV62" s="35"/>
      <c r="BW62" s="35"/>
      <c r="BX62" s="35"/>
      <c r="BY62" s="35"/>
      <c r="BZ62" s="35"/>
      <c r="CA62" s="35"/>
      <c r="CB62" s="35"/>
      <c r="CC62" s="35"/>
      <c r="CD62" s="35">
        <f t="shared" si="8"/>
        <v>24190</v>
      </c>
      <c r="CE62" s="35">
        <f t="shared" si="9"/>
        <v>72570</v>
      </c>
      <c r="CF62" s="35">
        <f>24620+(1180*6)</f>
        <v>31700</v>
      </c>
      <c r="CG62" s="35">
        <v>750</v>
      </c>
      <c r="CH62" s="35">
        <v>0</v>
      </c>
      <c r="CI62" s="35"/>
      <c r="CJ62" s="35"/>
      <c r="CK62" s="35"/>
      <c r="CL62" s="35"/>
      <c r="CM62" s="35"/>
      <c r="CN62" s="35"/>
      <c r="CO62" s="35"/>
      <c r="CP62" s="35"/>
      <c r="CQ62" s="35"/>
      <c r="CR62" s="35">
        <f t="shared" si="10"/>
        <v>32450</v>
      </c>
      <c r="CS62" s="35">
        <f>24620+9780+1400*6</f>
        <v>42800</v>
      </c>
      <c r="CT62" s="35">
        <v>750</v>
      </c>
      <c r="CU62" s="35">
        <v>0</v>
      </c>
      <c r="CV62" s="35"/>
      <c r="CW62" s="35"/>
      <c r="CX62" s="35"/>
      <c r="CY62" s="35"/>
      <c r="CZ62" s="35"/>
      <c r="DA62" s="35"/>
      <c r="DB62" s="35"/>
      <c r="DC62" s="35"/>
      <c r="DD62" s="35"/>
      <c r="DE62" s="35">
        <f t="shared" si="3"/>
        <v>43550</v>
      </c>
      <c r="DF62" s="35">
        <v>24620</v>
      </c>
      <c r="DG62" s="35">
        <v>750</v>
      </c>
      <c r="DH62" s="35">
        <v>0</v>
      </c>
      <c r="DI62" s="35"/>
      <c r="DJ62" s="35"/>
      <c r="DK62" s="35"/>
      <c r="DL62" s="35"/>
      <c r="DM62" s="35"/>
      <c r="DN62" s="35"/>
      <c r="DO62" s="35"/>
      <c r="DP62" s="35"/>
      <c r="DQ62" s="35"/>
      <c r="DR62" s="35">
        <f t="shared" si="11"/>
        <v>25370</v>
      </c>
      <c r="DS62" s="35">
        <f t="shared" si="12"/>
        <v>101370</v>
      </c>
      <c r="DT62" s="35">
        <v>27650</v>
      </c>
      <c r="DU62" s="35">
        <v>750</v>
      </c>
      <c r="DV62" s="35">
        <v>0</v>
      </c>
      <c r="DW62" s="35"/>
      <c r="DX62" s="35"/>
      <c r="DY62" s="35"/>
      <c r="DZ62" s="35"/>
      <c r="EA62" s="35"/>
      <c r="EB62" s="35"/>
      <c r="EC62" s="35"/>
      <c r="ED62" s="35"/>
      <c r="EE62" s="35"/>
      <c r="EF62" s="35">
        <f t="shared" si="13"/>
        <v>28400</v>
      </c>
      <c r="EG62" s="35">
        <v>27650</v>
      </c>
      <c r="EH62" s="35">
        <v>750</v>
      </c>
      <c r="EI62" s="35">
        <v>0</v>
      </c>
      <c r="EJ62" s="35"/>
      <c r="EK62" s="35"/>
      <c r="EL62" s="35"/>
      <c r="EM62" s="35"/>
      <c r="EN62" s="35"/>
      <c r="EO62" s="35"/>
      <c r="EP62" s="35"/>
      <c r="EQ62" s="35"/>
      <c r="ER62" s="35"/>
      <c r="ES62" s="35">
        <f t="shared" si="4"/>
        <v>28400</v>
      </c>
      <c r="ET62" s="35">
        <v>27650</v>
      </c>
      <c r="EU62" s="35">
        <v>750</v>
      </c>
      <c r="EV62" s="35">
        <v>0</v>
      </c>
      <c r="EW62" s="35"/>
      <c r="EX62" s="35"/>
      <c r="EY62" s="35"/>
      <c r="EZ62" s="35"/>
      <c r="FA62" s="35"/>
      <c r="FB62" s="35"/>
      <c r="FC62" s="35"/>
      <c r="FD62" s="35"/>
      <c r="FE62" s="35"/>
      <c r="FF62" s="35">
        <f t="shared" si="14"/>
        <v>28400</v>
      </c>
      <c r="FG62" s="35">
        <f t="shared" si="15"/>
        <v>85200</v>
      </c>
      <c r="FH62" s="35">
        <f t="shared" si="16"/>
        <v>331710</v>
      </c>
    </row>
    <row r="63" spans="1:164" x14ac:dyDescent="0.35">
      <c r="A63" s="34"/>
      <c r="B63" s="40"/>
      <c r="C63" s="41" t="s">
        <v>169</v>
      </c>
      <c r="D63" s="35"/>
      <c r="E63" s="35"/>
      <c r="F63" s="35"/>
      <c r="G63" s="35">
        <v>18000</v>
      </c>
      <c r="H63" s="35">
        <v>750</v>
      </c>
      <c r="I63" s="35">
        <v>540</v>
      </c>
      <c r="J63" s="35"/>
      <c r="K63" s="35"/>
      <c r="L63" s="35"/>
      <c r="M63" s="35"/>
      <c r="N63" s="35"/>
      <c r="O63" s="35"/>
      <c r="P63" s="35">
        <f t="shared" si="5"/>
        <v>19290</v>
      </c>
      <c r="Q63" s="35"/>
      <c r="R63" s="35"/>
      <c r="S63" s="35"/>
      <c r="T63" s="35">
        <v>18000</v>
      </c>
      <c r="U63" s="35">
        <v>750</v>
      </c>
      <c r="V63" s="35">
        <v>540</v>
      </c>
      <c r="W63" s="35"/>
      <c r="X63" s="35"/>
      <c r="Y63" s="35"/>
      <c r="Z63" s="35"/>
      <c r="AA63" s="35"/>
      <c r="AB63" s="35"/>
      <c r="AC63" s="35">
        <f t="shared" si="168"/>
        <v>19290</v>
      </c>
      <c r="AD63" s="35"/>
      <c r="AE63" s="35"/>
      <c r="AF63" s="35"/>
      <c r="AG63" s="35">
        <v>18000</v>
      </c>
      <c r="AH63" s="35">
        <v>750</v>
      </c>
      <c r="AI63" s="35">
        <v>540</v>
      </c>
      <c r="AJ63" s="35"/>
      <c r="AK63" s="35"/>
      <c r="AL63" s="35"/>
      <c r="AM63" s="35"/>
      <c r="AN63" s="35"/>
      <c r="AO63" s="35"/>
      <c r="AP63" s="35">
        <f t="shared" si="1"/>
        <v>19290</v>
      </c>
      <c r="AQ63" s="35">
        <f t="shared" si="169"/>
        <v>57870</v>
      </c>
      <c r="AR63" s="35"/>
      <c r="AS63" s="35"/>
      <c r="AT63" s="35"/>
      <c r="AU63" s="35">
        <v>18000</v>
      </c>
      <c r="AV63" s="35">
        <v>750</v>
      </c>
      <c r="AW63" s="35">
        <v>540</v>
      </c>
      <c r="AX63" s="35"/>
      <c r="AY63" s="35"/>
      <c r="AZ63" s="35"/>
      <c r="BA63" s="35"/>
      <c r="BB63" s="35"/>
      <c r="BC63" s="35"/>
      <c r="BD63" s="35">
        <f t="shared" si="6"/>
        <v>19290</v>
      </c>
      <c r="BE63" s="35"/>
      <c r="BF63" s="35"/>
      <c r="BG63" s="35"/>
      <c r="BH63" s="35">
        <v>18000</v>
      </c>
      <c r="BI63" s="35">
        <v>750</v>
      </c>
      <c r="BJ63" s="35">
        <v>540</v>
      </c>
      <c r="BK63" s="35"/>
      <c r="BL63" s="35"/>
      <c r="BM63" s="35"/>
      <c r="BN63" s="35"/>
      <c r="BO63" s="35"/>
      <c r="BP63" s="35"/>
      <c r="BQ63" s="35">
        <f t="shared" si="7"/>
        <v>19290</v>
      </c>
      <c r="BR63" s="35"/>
      <c r="BS63" s="35"/>
      <c r="BT63" s="35"/>
      <c r="BU63" s="35">
        <v>18000</v>
      </c>
      <c r="BV63" s="35">
        <v>750</v>
      </c>
      <c r="BW63" s="35">
        <v>540</v>
      </c>
      <c r="BX63" s="35"/>
      <c r="BY63" s="35"/>
      <c r="BZ63" s="35"/>
      <c r="CA63" s="35"/>
      <c r="CB63" s="35"/>
      <c r="CC63" s="35"/>
      <c r="CD63" s="35">
        <f t="shared" si="8"/>
        <v>19290</v>
      </c>
      <c r="CE63" s="35">
        <f t="shared" si="9"/>
        <v>57870</v>
      </c>
      <c r="CF63" s="35"/>
      <c r="CG63" s="35"/>
      <c r="CH63" s="35"/>
      <c r="CI63" s="35">
        <f>18900+(900*6)</f>
        <v>24300</v>
      </c>
      <c r="CJ63" s="35">
        <v>750</v>
      </c>
      <c r="CK63" s="35">
        <f>567+(27*6)</f>
        <v>729</v>
      </c>
      <c r="CL63" s="35"/>
      <c r="CM63" s="35"/>
      <c r="CN63" s="35"/>
      <c r="CO63" s="35"/>
      <c r="CP63" s="35"/>
      <c r="CQ63" s="35"/>
      <c r="CR63" s="35">
        <f t="shared" si="10"/>
        <v>25779</v>
      </c>
      <c r="CS63" s="35">
        <f>18900+3600+480*6</f>
        <v>25380</v>
      </c>
      <c r="CT63" s="35">
        <v>750</v>
      </c>
      <c r="CU63" s="35">
        <f>567+108+14*6</f>
        <v>759</v>
      </c>
      <c r="CV63" s="35"/>
      <c r="CW63" s="35"/>
      <c r="CX63" s="35"/>
      <c r="CY63" s="35"/>
      <c r="CZ63" s="35"/>
      <c r="DA63" s="35"/>
      <c r="DB63" s="35"/>
      <c r="DC63" s="35"/>
      <c r="DD63" s="35"/>
      <c r="DE63" s="35">
        <f t="shared" si="3"/>
        <v>26889</v>
      </c>
      <c r="DF63" s="35">
        <v>18900</v>
      </c>
      <c r="DG63" s="35">
        <v>750</v>
      </c>
      <c r="DH63" s="35">
        <v>567</v>
      </c>
      <c r="DI63" s="35"/>
      <c r="DJ63" s="35"/>
      <c r="DK63" s="35"/>
      <c r="DL63" s="35"/>
      <c r="DM63" s="35"/>
      <c r="DN63" s="35"/>
      <c r="DO63" s="35"/>
      <c r="DP63" s="35"/>
      <c r="DQ63" s="35"/>
      <c r="DR63" s="35">
        <f t="shared" si="11"/>
        <v>20217</v>
      </c>
      <c r="DS63" s="35">
        <f t="shared" si="12"/>
        <v>72885</v>
      </c>
      <c r="DT63" s="35">
        <v>19980</v>
      </c>
      <c r="DU63" s="35">
        <v>750</v>
      </c>
      <c r="DV63" s="35">
        <v>599</v>
      </c>
      <c r="DW63" s="35"/>
      <c r="DX63" s="35"/>
      <c r="DY63" s="35"/>
      <c r="DZ63" s="35"/>
      <c r="EA63" s="35"/>
      <c r="EB63" s="35"/>
      <c r="EC63" s="35"/>
      <c r="ED63" s="35"/>
      <c r="EE63" s="35"/>
      <c r="EF63" s="35">
        <f t="shared" si="13"/>
        <v>21329</v>
      </c>
      <c r="EG63" s="35">
        <v>19980</v>
      </c>
      <c r="EH63" s="35">
        <v>750</v>
      </c>
      <c r="EI63" s="35">
        <v>599</v>
      </c>
      <c r="EJ63" s="35"/>
      <c r="EK63" s="35"/>
      <c r="EL63" s="35"/>
      <c r="EM63" s="35"/>
      <c r="EN63" s="35"/>
      <c r="EO63" s="35"/>
      <c r="EP63" s="35"/>
      <c r="EQ63" s="35"/>
      <c r="ER63" s="35"/>
      <c r="ES63" s="35">
        <f t="shared" si="4"/>
        <v>21329</v>
      </c>
      <c r="ET63" s="35">
        <v>19980</v>
      </c>
      <c r="EU63" s="35">
        <v>750</v>
      </c>
      <c r="EV63" s="35">
        <v>599</v>
      </c>
      <c r="EW63" s="35"/>
      <c r="EX63" s="35"/>
      <c r="EY63" s="35"/>
      <c r="EZ63" s="35"/>
      <c r="FA63" s="35"/>
      <c r="FB63" s="35"/>
      <c r="FC63" s="35"/>
      <c r="FD63" s="35"/>
      <c r="FE63" s="35"/>
      <c r="FF63" s="35">
        <f t="shared" si="14"/>
        <v>21329</v>
      </c>
      <c r="FG63" s="35">
        <f t="shared" si="15"/>
        <v>63987</v>
      </c>
      <c r="FH63" s="35">
        <f t="shared" si="16"/>
        <v>252612</v>
      </c>
    </row>
    <row r="64" spans="1:164" x14ac:dyDescent="0.35">
      <c r="A64" s="34"/>
      <c r="B64" s="40"/>
      <c r="C64" s="41" t="s">
        <v>170</v>
      </c>
      <c r="D64" s="35">
        <v>22750</v>
      </c>
      <c r="E64" s="35">
        <v>750</v>
      </c>
      <c r="F64" s="35">
        <v>0</v>
      </c>
      <c r="G64" s="35"/>
      <c r="H64" s="35"/>
      <c r="I64" s="35"/>
      <c r="J64" s="35"/>
      <c r="K64" s="35"/>
      <c r="L64" s="35"/>
      <c r="M64" s="35"/>
      <c r="N64" s="35"/>
      <c r="O64" s="35"/>
      <c r="P64" s="35">
        <f>SUM(D64:O64)</f>
        <v>23500</v>
      </c>
      <c r="Q64" s="35">
        <v>22750</v>
      </c>
      <c r="R64" s="35">
        <v>750</v>
      </c>
      <c r="S64" s="35">
        <v>0</v>
      </c>
      <c r="T64" s="35"/>
      <c r="U64" s="35"/>
      <c r="V64" s="35"/>
      <c r="W64" s="35"/>
      <c r="X64" s="35"/>
      <c r="Y64" s="35"/>
      <c r="Z64" s="35"/>
      <c r="AA64" s="35"/>
      <c r="AB64" s="35"/>
      <c r="AC64" s="35">
        <f t="shared" si="168"/>
        <v>23500</v>
      </c>
      <c r="AD64" s="35">
        <v>22750</v>
      </c>
      <c r="AE64" s="35">
        <v>750</v>
      </c>
      <c r="AF64" s="35">
        <v>0</v>
      </c>
      <c r="AG64" s="35"/>
      <c r="AH64" s="35"/>
      <c r="AI64" s="35"/>
      <c r="AJ64" s="35"/>
      <c r="AK64" s="35"/>
      <c r="AL64" s="35"/>
      <c r="AM64" s="35"/>
      <c r="AN64" s="35"/>
      <c r="AO64" s="35"/>
      <c r="AP64" s="35">
        <f t="shared" si="1"/>
        <v>23500</v>
      </c>
      <c r="AQ64" s="35">
        <f t="shared" si="169"/>
        <v>70500</v>
      </c>
      <c r="AR64" s="35">
        <v>22750</v>
      </c>
      <c r="AS64" s="35">
        <v>750</v>
      </c>
      <c r="AT64" s="35">
        <v>0</v>
      </c>
      <c r="AU64" s="35"/>
      <c r="AV64" s="35"/>
      <c r="AW64" s="35"/>
      <c r="AX64" s="35"/>
      <c r="AY64" s="35"/>
      <c r="AZ64" s="35"/>
      <c r="BA64" s="35"/>
      <c r="BB64" s="35"/>
      <c r="BC64" s="35"/>
      <c r="BD64" s="35">
        <f>SUM(AR64:BC64)</f>
        <v>23500</v>
      </c>
      <c r="BE64" s="35">
        <v>22750</v>
      </c>
      <c r="BF64" s="35">
        <v>750</v>
      </c>
      <c r="BG64" s="35">
        <v>0</v>
      </c>
      <c r="BH64" s="35"/>
      <c r="BI64" s="35"/>
      <c r="BJ64" s="35"/>
      <c r="BK64" s="35"/>
      <c r="BL64" s="35"/>
      <c r="BM64" s="35"/>
      <c r="BN64" s="35"/>
      <c r="BO64" s="35"/>
      <c r="BP64" s="35"/>
      <c r="BQ64" s="35">
        <f t="shared" si="7"/>
        <v>23500</v>
      </c>
      <c r="BR64" s="35">
        <v>22750</v>
      </c>
      <c r="BS64" s="35">
        <v>750</v>
      </c>
      <c r="BT64" s="35">
        <v>0</v>
      </c>
      <c r="BU64" s="35"/>
      <c r="BV64" s="35"/>
      <c r="BW64" s="35"/>
      <c r="BX64" s="35"/>
      <c r="BY64" s="35"/>
      <c r="BZ64" s="35"/>
      <c r="CA64" s="35"/>
      <c r="CB64" s="35"/>
      <c r="CC64" s="35"/>
      <c r="CD64" s="35">
        <f t="shared" si="8"/>
        <v>23500</v>
      </c>
      <c r="CE64" s="35">
        <f t="shared" si="9"/>
        <v>70500</v>
      </c>
      <c r="CF64" s="35">
        <f>23890+(1140*6)</f>
        <v>30730</v>
      </c>
      <c r="CG64" s="35">
        <v>750</v>
      </c>
      <c r="CH64" s="35">
        <v>0</v>
      </c>
      <c r="CI64" s="35"/>
      <c r="CJ64" s="35"/>
      <c r="CK64" s="35"/>
      <c r="CL64" s="35"/>
      <c r="CM64" s="35"/>
      <c r="CN64" s="35"/>
      <c r="CO64" s="35"/>
      <c r="CP64" s="35"/>
      <c r="CQ64" s="35"/>
      <c r="CR64" s="35">
        <f t="shared" si="10"/>
        <v>31480</v>
      </c>
      <c r="CS64" s="35">
        <f>23890+14160+1050*6</f>
        <v>44350</v>
      </c>
      <c r="CT64" s="35">
        <v>750</v>
      </c>
      <c r="CU64" s="35">
        <v>0</v>
      </c>
      <c r="CV64" s="35"/>
      <c r="CW64" s="35"/>
      <c r="CX64" s="35"/>
      <c r="CY64" s="35"/>
      <c r="CZ64" s="35"/>
      <c r="DA64" s="35"/>
      <c r="DB64" s="35"/>
      <c r="DC64" s="35"/>
      <c r="DD64" s="35"/>
      <c r="DE64" s="35">
        <f t="shared" si="3"/>
        <v>45100</v>
      </c>
      <c r="DF64" s="35">
        <v>23890</v>
      </c>
      <c r="DG64" s="35">
        <v>750</v>
      </c>
      <c r="DH64" s="35">
        <v>0</v>
      </c>
      <c r="DI64" s="35"/>
      <c r="DJ64" s="35"/>
      <c r="DK64" s="35"/>
      <c r="DL64" s="35"/>
      <c r="DM64" s="35"/>
      <c r="DN64" s="35"/>
      <c r="DO64" s="35"/>
      <c r="DP64" s="35"/>
      <c r="DQ64" s="35"/>
      <c r="DR64" s="35">
        <f t="shared" si="11"/>
        <v>24640</v>
      </c>
      <c r="DS64" s="35">
        <f t="shared" si="12"/>
        <v>101220</v>
      </c>
      <c r="DT64" s="35">
        <v>27300</v>
      </c>
      <c r="DU64" s="35">
        <v>750</v>
      </c>
      <c r="DV64" s="35">
        <v>0</v>
      </c>
      <c r="DW64" s="35"/>
      <c r="DX64" s="35"/>
      <c r="DY64" s="35"/>
      <c r="DZ64" s="35"/>
      <c r="EA64" s="35"/>
      <c r="EB64" s="35"/>
      <c r="EC64" s="35"/>
      <c r="ED64" s="35"/>
      <c r="EE64" s="35"/>
      <c r="EF64" s="35">
        <f t="shared" si="13"/>
        <v>28050</v>
      </c>
      <c r="EG64" s="35">
        <v>27300</v>
      </c>
      <c r="EH64" s="35">
        <v>750</v>
      </c>
      <c r="EI64" s="35">
        <v>0</v>
      </c>
      <c r="EJ64" s="35"/>
      <c r="EK64" s="35"/>
      <c r="EL64" s="35"/>
      <c r="EM64" s="35"/>
      <c r="EN64" s="35"/>
      <c r="EO64" s="35"/>
      <c r="EP64" s="35"/>
      <c r="EQ64" s="35"/>
      <c r="ER64" s="35"/>
      <c r="ES64" s="35">
        <f t="shared" si="4"/>
        <v>28050</v>
      </c>
      <c r="ET64" s="35">
        <v>27300</v>
      </c>
      <c r="EU64" s="35">
        <v>750</v>
      </c>
      <c r="EV64" s="35">
        <v>0</v>
      </c>
      <c r="EW64" s="35"/>
      <c r="EX64" s="35"/>
      <c r="EY64" s="35"/>
      <c r="EZ64" s="35"/>
      <c r="FA64" s="35"/>
      <c r="FB64" s="35"/>
      <c r="FC64" s="35"/>
      <c r="FD64" s="35"/>
      <c r="FE64" s="35"/>
      <c r="FF64" s="35">
        <f t="shared" si="14"/>
        <v>28050</v>
      </c>
      <c r="FG64" s="35">
        <f t="shared" si="15"/>
        <v>84150</v>
      </c>
      <c r="FH64" s="35">
        <f t="shared" si="16"/>
        <v>326370</v>
      </c>
    </row>
    <row r="65" spans="1:164" x14ac:dyDescent="0.35">
      <c r="A65" s="34"/>
      <c r="B65" s="40"/>
      <c r="C65" s="41" t="s">
        <v>242</v>
      </c>
      <c r="D65" s="35">
        <v>22750</v>
      </c>
      <c r="E65" s="35">
        <v>750</v>
      </c>
      <c r="F65" s="35">
        <v>0</v>
      </c>
      <c r="G65" s="35"/>
      <c r="H65" s="35"/>
      <c r="I65" s="35"/>
      <c r="J65" s="35"/>
      <c r="K65" s="35"/>
      <c r="L65" s="35"/>
      <c r="M65" s="35"/>
      <c r="N65" s="35"/>
      <c r="O65" s="35"/>
      <c r="P65" s="35">
        <f t="shared" ref="P65" si="170">SUM(D65:O65)</f>
        <v>23500</v>
      </c>
      <c r="Q65" s="35">
        <v>22750</v>
      </c>
      <c r="R65" s="35">
        <v>750</v>
      </c>
      <c r="S65" s="35">
        <v>0</v>
      </c>
      <c r="T65" s="35"/>
      <c r="U65" s="35"/>
      <c r="V65" s="35"/>
      <c r="W65" s="35"/>
      <c r="X65" s="35"/>
      <c r="Y65" s="35"/>
      <c r="Z65" s="35"/>
      <c r="AA65" s="35"/>
      <c r="AB65" s="35"/>
      <c r="AC65" s="35">
        <f t="shared" ref="AC65" si="171">SUM(Q65:AB65)</f>
        <v>23500</v>
      </c>
      <c r="AD65" s="35">
        <v>22750</v>
      </c>
      <c r="AE65" s="35">
        <v>750</v>
      </c>
      <c r="AF65" s="35">
        <v>0</v>
      </c>
      <c r="AG65" s="35"/>
      <c r="AH65" s="35"/>
      <c r="AI65" s="35"/>
      <c r="AJ65" s="35"/>
      <c r="AK65" s="35"/>
      <c r="AL65" s="35"/>
      <c r="AM65" s="35"/>
      <c r="AN65" s="35"/>
      <c r="AO65" s="35"/>
      <c r="AP65" s="35">
        <f>SUM(AD65:AO65)</f>
        <v>23500</v>
      </c>
      <c r="AQ65" s="35">
        <f t="shared" ref="AQ65:AQ67" si="172">+P65+AC65+AP65</f>
        <v>70500</v>
      </c>
      <c r="AR65" s="35">
        <v>22750</v>
      </c>
      <c r="AS65" s="35">
        <v>750</v>
      </c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>
        <f t="shared" ref="BD65" si="173">SUM(AR65:BC65)</f>
        <v>23500</v>
      </c>
      <c r="BE65" s="35">
        <v>22750</v>
      </c>
      <c r="BF65" s="35">
        <v>750</v>
      </c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>
        <f>SUM(BE65:BP65)</f>
        <v>23500</v>
      </c>
      <c r="BR65" s="35">
        <v>22750</v>
      </c>
      <c r="BS65" s="35">
        <v>750</v>
      </c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>
        <f t="shared" ref="CD65" si="174">SUM(BR65:CC65)</f>
        <v>23500</v>
      </c>
      <c r="CE65" s="35">
        <f t="shared" ref="CE65:CE67" si="175">+BD65+BQ65+CD65</f>
        <v>70500</v>
      </c>
      <c r="CF65" s="35">
        <v>22750</v>
      </c>
      <c r="CG65" s="35">
        <v>750</v>
      </c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>
        <f t="shared" ref="CR65:CR67" si="176">SUM(CF65:CQ65)</f>
        <v>23500</v>
      </c>
      <c r="CS65" s="35">
        <f>22750+21000+410*6</f>
        <v>46210</v>
      </c>
      <c r="CT65" s="35">
        <v>750</v>
      </c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>
        <f t="shared" ref="DE65" si="177">SUM(CS65:DD65)</f>
        <v>46960</v>
      </c>
      <c r="DF65" s="35">
        <v>22750</v>
      </c>
      <c r="DG65" s="35">
        <v>750</v>
      </c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>
        <f t="shared" ref="DR65:DR67" si="178">SUM(DF65:DQ65)</f>
        <v>23500</v>
      </c>
      <c r="DS65" s="35">
        <f t="shared" ref="DS65:DS67" si="179">+CR65+DE65+DR65</f>
        <v>93960</v>
      </c>
      <c r="DT65" s="35">
        <v>26660</v>
      </c>
      <c r="DU65" s="35">
        <v>750</v>
      </c>
      <c r="DV65" s="35">
        <v>0</v>
      </c>
      <c r="DW65" s="35"/>
      <c r="DX65" s="35"/>
      <c r="DY65" s="35"/>
      <c r="DZ65" s="35"/>
      <c r="EA65" s="35"/>
      <c r="EB65" s="35"/>
      <c r="EC65" s="35"/>
      <c r="ED65" s="35"/>
      <c r="EE65" s="35"/>
      <c r="EF65" s="35">
        <f t="shared" ref="EF65:EF67" si="180">SUM(DT65:EE65)</f>
        <v>27410</v>
      </c>
      <c r="EG65" s="35">
        <v>26660</v>
      </c>
      <c r="EH65" s="35">
        <v>750</v>
      </c>
      <c r="EI65" s="35">
        <v>0</v>
      </c>
      <c r="EJ65" s="35"/>
      <c r="EK65" s="35"/>
      <c r="EL65" s="35"/>
      <c r="EM65" s="35"/>
      <c r="EN65" s="35"/>
      <c r="EO65" s="35"/>
      <c r="EP65" s="35"/>
      <c r="EQ65" s="35"/>
      <c r="ER65" s="35"/>
      <c r="ES65" s="35">
        <f t="shared" ref="ES65" si="181">SUM(EG65:ER65)</f>
        <v>27410</v>
      </c>
      <c r="ET65" s="35">
        <v>26660</v>
      </c>
      <c r="EU65" s="35">
        <v>750</v>
      </c>
      <c r="EV65" s="35">
        <v>0</v>
      </c>
      <c r="EW65" s="35"/>
      <c r="EX65" s="35"/>
      <c r="EY65" s="35"/>
      <c r="EZ65" s="35"/>
      <c r="FA65" s="35"/>
      <c r="FB65" s="35"/>
      <c r="FC65" s="35"/>
      <c r="FD65" s="35"/>
      <c r="FE65" s="35"/>
      <c r="FF65" s="35">
        <f t="shared" ref="FF65:FF67" si="182">SUM(ET65:FE65)</f>
        <v>27410</v>
      </c>
      <c r="FG65" s="35">
        <f t="shared" ref="FG65:FG67" si="183">+EF65+ES65+FF65</f>
        <v>82230</v>
      </c>
      <c r="FH65" s="35">
        <f t="shared" ref="FH65:FH67" si="184">+AQ65+CE65+DS65+FG65</f>
        <v>317190</v>
      </c>
    </row>
    <row r="66" spans="1:164" x14ac:dyDescent="0.35">
      <c r="A66" s="34"/>
      <c r="B66" s="40"/>
      <c r="C66" s="41" t="s">
        <v>259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>
        <f t="shared" ref="P66:P67" si="185">SUM(D66:O66)</f>
        <v>0</v>
      </c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>
        <f t="shared" ref="AC66:AC67" si="186">SUM(Q66:AB66)</f>
        <v>0</v>
      </c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>
        <f t="shared" ref="AP66:AP67" si="187">SUM(AD66:AO66)</f>
        <v>0</v>
      </c>
      <c r="AQ66" s="35">
        <f t="shared" si="172"/>
        <v>0</v>
      </c>
      <c r="AR66" s="35">
        <f>10274.19+22750</f>
        <v>33024.19</v>
      </c>
      <c r="AS66" s="35">
        <f>514+750</f>
        <v>1264</v>
      </c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>
        <f t="shared" ref="BD66:BD67" si="188">SUM(AR66:BC66)</f>
        <v>34288.19</v>
      </c>
      <c r="BE66" s="35">
        <v>22750</v>
      </c>
      <c r="BF66" s="35">
        <v>750</v>
      </c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>
        <f t="shared" ref="BQ66:BQ67" si="189">SUM(BE66:BP66)</f>
        <v>23500</v>
      </c>
      <c r="BR66" s="35">
        <v>22750</v>
      </c>
      <c r="BS66" s="35">
        <v>750</v>
      </c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>
        <f t="shared" ref="CD66:CD67" si="190">SUM(BR66:CC66)</f>
        <v>23500</v>
      </c>
      <c r="CE66" s="35">
        <f t="shared" si="175"/>
        <v>81288.19</v>
      </c>
      <c r="CF66" s="35">
        <v>22750</v>
      </c>
      <c r="CG66" s="35">
        <v>750</v>
      </c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>
        <f t="shared" si="176"/>
        <v>23500</v>
      </c>
      <c r="CS66" s="35">
        <f>22750+21000</f>
        <v>43750</v>
      </c>
      <c r="CT66" s="35">
        <v>750</v>
      </c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>
        <f t="shared" ref="DE66:DE67" si="191">SUM(CS66:DD66)</f>
        <v>44500</v>
      </c>
      <c r="DF66" s="35">
        <v>22750</v>
      </c>
      <c r="DG66" s="35">
        <v>750</v>
      </c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>
        <f t="shared" si="178"/>
        <v>23500</v>
      </c>
      <c r="DS66" s="35">
        <f t="shared" si="179"/>
        <v>91500</v>
      </c>
      <c r="DT66" s="35">
        <v>26250</v>
      </c>
      <c r="DU66" s="35">
        <v>750</v>
      </c>
      <c r="DV66" s="35">
        <v>0</v>
      </c>
      <c r="DW66" s="35"/>
      <c r="DX66" s="35"/>
      <c r="DY66" s="35"/>
      <c r="DZ66" s="35"/>
      <c r="EA66" s="35"/>
      <c r="EB66" s="35"/>
      <c r="EC66" s="35"/>
      <c r="ED66" s="35"/>
      <c r="EE66" s="35"/>
      <c r="EF66" s="35">
        <f t="shared" si="180"/>
        <v>27000</v>
      </c>
      <c r="EG66" s="35">
        <v>26250</v>
      </c>
      <c r="EH66" s="35">
        <v>750</v>
      </c>
      <c r="EI66" s="35">
        <v>0</v>
      </c>
      <c r="EJ66" s="35"/>
      <c r="EK66" s="35"/>
      <c r="EL66" s="35"/>
      <c r="EM66" s="35"/>
      <c r="EN66" s="35"/>
      <c r="EO66" s="35"/>
      <c r="EP66" s="35"/>
      <c r="EQ66" s="35"/>
      <c r="ER66" s="35"/>
      <c r="ES66" s="35">
        <f t="shared" ref="ES66:ES67" si="192">SUM(EG66:ER66)</f>
        <v>27000</v>
      </c>
      <c r="ET66" s="35">
        <v>26250</v>
      </c>
      <c r="EU66" s="35">
        <v>750</v>
      </c>
      <c r="EV66" s="35">
        <v>0</v>
      </c>
      <c r="EW66" s="35"/>
      <c r="EX66" s="35"/>
      <c r="EY66" s="35"/>
      <c r="EZ66" s="35"/>
      <c r="FA66" s="35"/>
      <c r="FB66" s="35"/>
      <c r="FC66" s="35"/>
      <c r="FD66" s="35"/>
      <c r="FE66" s="35"/>
      <c r="FF66" s="35">
        <f t="shared" si="182"/>
        <v>27000</v>
      </c>
      <c r="FG66" s="35">
        <f t="shared" si="183"/>
        <v>81000</v>
      </c>
      <c r="FH66" s="35">
        <f t="shared" si="184"/>
        <v>253788.19</v>
      </c>
    </row>
    <row r="67" spans="1:164" x14ac:dyDescent="0.35">
      <c r="A67" s="34"/>
      <c r="B67" s="40"/>
      <c r="C67" s="41" t="s">
        <v>260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>
        <f t="shared" si="185"/>
        <v>0</v>
      </c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>
        <f t="shared" si="186"/>
        <v>0</v>
      </c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>
        <f t="shared" si="187"/>
        <v>0</v>
      </c>
      <c r="AQ67" s="35">
        <f t="shared" si="172"/>
        <v>0</v>
      </c>
      <c r="AR67" s="35">
        <f>10274.19+22750</f>
        <v>33024.19</v>
      </c>
      <c r="AS67" s="35">
        <f>514+750</f>
        <v>1264</v>
      </c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>
        <f t="shared" si="188"/>
        <v>34288.19</v>
      </c>
      <c r="BE67" s="35">
        <v>22750</v>
      </c>
      <c r="BF67" s="35">
        <v>750</v>
      </c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>
        <f t="shared" si="189"/>
        <v>23500</v>
      </c>
      <c r="BR67" s="35">
        <v>22750</v>
      </c>
      <c r="BS67" s="35">
        <v>750</v>
      </c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>
        <f t="shared" si="190"/>
        <v>23500</v>
      </c>
      <c r="CE67" s="35">
        <f t="shared" si="175"/>
        <v>81288.19</v>
      </c>
      <c r="CF67" s="35">
        <v>22750</v>
      </c>
      <c r="CG67" s="35">
        <v>750</v>
      </c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>
        <f t="shared" si="176"/>
        <v>23500</v>
      </c>
      <c r="CS67" s="35">
        <f>22750+21000</f>
        <v>43750</v>
      </c>
      <c r="CT67" s="35">
        <v>750</v>
      </c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>
        <f t="shared" si="191"/>
        <v>44500</v>
      </c>
      <c r="DF67" s="35">
        <v>22750</v>
      </c>
      <c r="DG67" s="35">
        <v>750</v>
      </c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>
        <f t="shared" si="178"/>
        <v>23500</v>
      </c>
      <c r="DS67" s="35">
        <f t="shared" si="179"/>
        <v>91500</v>
      </c>
      <c r="DT67" s="35">
        <v>26250</v>
      </c>
      <c r="DU67" s="35">
        <v>750</v>
      </c>
      <c r="DV67" s="35">
        <v>0</v>
      </c>
      <c r="DW67" s="35"/>
      <c r="DX67" s="35"/>
      <c r="DY67" s="35"/>
      <c r="DZ67" s="35"/>
      <c r="EA67" s="35"/>
      <c r="EB67" s="35"/>
      <c r="EC67" s="35"/>
      <c r="ED67" s="35"/>
      <c r="EE67" s="35"/>
      <c r="EF67" s="35">
        <f t="shared" si="180"/>
        <v>27000</v>
      </c>
      <c r="EG67" s="35">
        <v>26250</v>
      </c>
      <c r="EH67" s="35">
        <v>750</v>
      </c>
      <c r="EI67" s="35">
        <v>0</v>
      </c>
      <c r="EJ67" s="35"/>
      <c r="EK67" s="35"/>
      <c r="EL67" s="35"/>
      <c r="EM67" s="35"/>
      <c r="EN67" s="35"/>
      <c r="EO67" s="35"/>
      <c r="EP67" s="35"/>
      <c r="EQ67" s="35"/>
      <c r="ER67" s="35"/>
      <c r="ES67" s="35">
        <f t="shared" si="192"/>
        <v>27000</v>
      </c>
      <c r="ET67" s="35">
        <v>26250</v>
      </c>
      <c r="EU67" s="35">
        <v>750</v>
      </c>
      <c r="EV67" s="35">
        <v>0</v>
      </c>
      <c r="EW67" s="35"/>
      <c r="EX67" s="35"/>
      <c r="EY67" s="35"/>
      <c r="EZ67" s="35"/>
      <c r="FA67" s="35"/>
      <c r="FB67" s="35"/>
      <c r="FC67" s="35"/>
      <c r="FD67" s="35"/>
      <c r="FE67" s="35"/>
      <c r="FF67" s="35">
        <f t="shared" si="182"/>
        <v>27000</v>
      </c>
      <c r="FG67" s="35">
        <f t="shared" si="183"/>
        <v>81000</v>
      </c>
      <c r="FH67" s="35">
        <f t="shared" si="184"/>
        <v>253788.19</v>
      </c>
    </row>
    <row r="68" spans="1:164" x14ac:dyDescent="0.35">
      <c r="A68" s="34"/>
      <c r="B68" s="40"/>
      <c r="C68" s="41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>
        <f t="shared" si="5"/>
        <v>0</v>
      </c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>
        <f t="shared" si="168"/>
        <v>0</v>
      </c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>
        <f t="shared" si="1"/>
        <v>0</v>
      </c>
      <c r="AQ68" s="35">
        <f t="shared" si="169"/>
        <v>0</v>
      </c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>
        <f t="shared" si="6"/>
        <v>0</v>
      </c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>
        <f t="shared" si="7"/>
        <v>0</v>
      </c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>
        <f t="shared" si="8"/>
        <v>0</v>
      </c>
      <c r="CE68" s="35">
        <f t="shared" si="9"/>
        <v>0</v>
      </c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>
        <f t="shared" si="10"/>
        <v>0</v>
      </c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>
        <f t="shared" si="3"/>
        <v>0</v>
      </c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>
        <f t="shared" si="11"/>
        <v>0</v>
      </c>
      <c r="DS68" s="35">
        <f t="shared" si="12"/>
        <v>0</v>
      </c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>
        <f t="shared" si="13"/>
        <v>0</v>
      </c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>
        <f t="shared" si="4"/>
        <v>0</v>
      </c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>
        <f t="shared" si="14"/>
        <v>0</v>
      </c>
      <c r="FG68" s="35">
        <f t="shared" si="15"/>
        <v>0</v>
      </c>
      <c r="FH68" s="35">
        <f t="shared" si="16"/>
        <v>0</v>
      </c>
    </row>
    <row r="69" spans="1:164" x14ac:dyDescent="0.35">
      <c r="A69" s="48"/>
      <c r="B69" s="49" t="s">
        <v>117</v>
      </c>
      <c r="C69" s="50"/>
      <c r="D69" s="51">
        <f>SUM(D27:D68)</f>
        <v>897850</v>
      </c>
      <c r="E69" s="51">
        <f t="shared" ref="E69:O69" si="193">SUM(E27:E68)</f>
        <v>24750</v>
      </c>
      <c r="F69" s="51">
        <f t="shared" si="193"/>
        <v>19123</v>
      </c>
      <c r="G69" s="51">
        <f t="shared" si="193"/>
        <v>127720</v>
      </c>
      <c r="H69" s="51">
        <f t="shared" si="193"/>
        <v>4500</v>
      </c>
      <c r="I69" s="51">
        <f t="shared" si="193"/>
        <v>3182</v>
      </c>
      <c r="J69" s="51">
        <f t="shared" si="193"/>
        <v>0</v>
      </c>
      <c r="K69" s="51">
        <f t="shared" si="193"/>
        <v>0</v>
      </c>
      <c r="L69" s="51">
        <f t="shared" si="193"/>
        <v>0</v>
      </c>
      <c r="M69" s="51">
        <f t="shared" si="193"/>
        <v>0</v>
      </c>
      <c r="N69" s="51">
        <f t="shared" si="193"/>
        <v>0</v>
      </c>
      <c r="O69" s="51">
        <f t="shared" si="193"/>
        <v>0</v>
      </c>
      <c r="P69" s="51">
        <f t="shared" si="5"/>
        <v>1077125</v>
      </c>
      <c r="Q69" s="51">
        <f>SUM(Q27:Q68)</f>
        <v>897850</v>
      </c>
      <c r="R69" s="51">
        <f t="shared" ref="R69" si="194">SUM(R27:R68)</f>
        <v>24750</v>
      </c>
      <c r="S69" s="51">
        <f t="shared" ref="S69" si="195">SUM(S27:S68)</f>
        <v>19123</v>
      </c>
      <c r="T69" s="51">
        <f t="shared" ref="T69" si="196">SUM(T27:T68)</f>
        <v>127720</v>
      </c>
      <c r="U69" s="51">
        <f t="shared" ref="U69" si="197">SUM(U27:U68)</f>
        <v>4500</v>
      </c>
      <c r="V69" s="51">
        <f t="shared" ref="V69" si="198">SUM(V27:V68)</f>
        <v>3182</v>
      </c>
      <c r="W69" s="51">
        <f t="shared" ref="W69" si="199">SUM(W27:W68)</f>
        <v>0</v>
      </c>
      <c r="X69" s="51">
        <f t="shared" ref="X69" si="200">SUM(X27:X68)</f>
        <v>0</v>
      </c>
      <c r="Y69" s="51">
        <f t="shared" ref="Y69" si="201">SUM(Y27:Y68)</f>
        <v>0</v>
      </c>
      <c r="Z69" s="51">
        <f t="shared" ref="Z69" si="202">SUM(Z27:Z68)</f>
        <v>0</v>
      </c>
      <c r="AA69" s="51">
        <f t="shared" ref="AA69" si="203">SUM(AA27:AA68)</f>
        <v>0</v>
      </c>
      <c r="AB69" s="51">
        <f t="shared" ref="AB69" si="204">SUM(AB27:AB68)</f>
        <v>0</v>
      </c>
      <c r="AC69" s="51">
        <f t="shared" si="168"/>
        <v>1077125</v>
      </c>
      <c r="AD69" s="51">
        <f>SUM(AD27:AD68)</f>
        <v>897850</v>
      </c>
      <c r="AE69" s="51">
        <f t="shared" ref="AE69" si="205">SUM(AE27:AE68)</f>
        <v>24750</v>
      </c>
      <c r="AF69" s="51">
        <f t="shared" ref="AF69" si="206">SUM(AF27:AF68)</f>
        <v>19123</v>
      </c>
      <c r="AG69" s="51">
        <f t="shared" ref="AG69" si="207">SUM(AG27:AG68)</f>
        <v>127720</v>
      </c>
      <c r="AH69" s="51">
        <f t="shared" ref="AH69" si="208">SUM(AH27:AH68)</f>
        <v>4500</v>
      </c>
      <c r="AI69" s="51">
        <f t="shared" ref="AI69" si="209">SUM(AI27:AI68)</f>
        <v>3182</v>
      </c>
      <c r="AJ69" s="51">
        <f t="shared" ref="AJ69" si="210">SUM(AJ27:AJ68)</f>
        <v>0</v>
      </c>
      <c r="AK69" s="51">
        <f t="shared" ref="AK69" si="211">SUM(AK27:AK68)</f>
        <v>0</v>
      </c>
      <c r="AL69" s="51">
        <f t="shared" ref="AL69" si="212">SUM(AL27:AL68)</f>
        <v>0</v>
      </c>
      <c r="AM69" s="51">
        <f t="shared" ref="AM69" si="213">SUM(AM27:AM68)</f>
        <v>0</v>
      </c>
      <c r="AN69" s="51">
        <f t="shared" ref="AN69" si="214">SUM(AN27:AN68)</f>
        <v>0</v>
      </c>
      <c r="AO69" s="51">
        <f t="shared" ref="AO69" si="215">SUM(AO27:AO68)</f>
        <v>0</v>
      </c>
      <c r="AP69" s="51">
        <f t="shared" si="1"/>
        <v>1077125</v>
      </c>
      <c r="AQ69" s="51">
        <f t="shared" si="169"/>
        <v>3231375</v>
      </c>
      <c r="AR69" s="51">
        <f>SUM(AR27:AR68)</f>
        <v>963898.37999999989</v>
      </c>
      <c r="AS69" s="51">
        <f t="shared" ref="AS69" si="216">SUM(AS27:AS68)</f>
        <v>27278</v>
      </c>
      <c r="AT69" s="51">
        <f t="shared" ref="AT69" si="217">SUM(AT27:AT68)</f>
        <v>19123</v>
      </c>
      <c r="AU69" s="51">
        <f t="shared" ref="AU69" si="218">SUM(AU27:AU68)</f>
        <v>127720</v>
      </c>
      <c r="AV69" s="51">
        <f t="shared" ref="AV69" si="219">SUM(AV27:AV68)</f>
        <v>4500</v>
      </c>
      <c r="AW69" s="51">
        <f t="shared" ref="AW69" si="220">SUM(AW27:AW68)</f>
        <v>3182</v>
      </c>
      <c r="AX69" s="51">
        <f t="shared" ref="AX69" si="221">SUM(AX27:AX68)</f>
        <v>0</v>
      </c>
      <c r="AY69" s="51">
        <f t="shared" ref="AY69" si="222">SUM(AY27:AY68)</f>
        <v>0</v>
      </c>
      <c r="AZ69" s="51">
        <f t="shared" ref="AZ69" si="223">SUM(AZ27:AZ68)</f>
        <v>0</v>
      </c>
      <c r="BA69" s="51">
        <f t="shared" ref="BA69" si="224">SUM(BA27:BA68)</f>
        <v>0</v>
      </c>
      <c r="BB69" s="51">
        <f>SUM(BB27:BB68)</f>
        <v>0</v>
      </c>
      <c r="BC69" s="51">
        <f t="shared" ref="BC69" si="225">SUM(BC27:BC68)</f>
        <v>0</v>
      </c>
      <c r="BD69" s="51">
        <f t="shared" si="6"/>
        <v>1145701.3799999999</v>
      </c>
      <c r="BE69" s="51">
        <f>SUM(BE27:BE68)</f>
        <v>943350</v>
      </c>
      <c r="BF69" s="51">
        <f t="shared" ref="BF69" si="226">SUM(BF27:BF68)</f>
        <v>26250</v>
      </c>
      <c r="BG69" s="51">
        <f t="shared" ref="BG69" si="227">SUM(BG27:BG68)</f>
        <v>19123</v>
      </c>
      <c r="BH69" s="51">
        <f t="shared" ref="BH69" si="228">SUM(BH27:BH68)</f>
        <v>127720</v>
      </c>
      <c r="BI69" s="51">
        <f t="shared" ref="BI69" si="229">SUM(BI27:BI68)</f>
        <v>4500</v>
      </c>
      <c r="BJ69" s="51">
        <f t="shared" ref="BJ69" si="230">SUM(BJ27:BJ68)</f>
        <v>3182</v>
      </c>
      <c r="BK69" s="51">
        <f t="shared" ref="BK69" si="231">SUM(BK27:BK68)</f>
        <v>0</v>
      </c>
      <c r="BL69" s="51">
        <f t="shared" ref="BL69" si="232">SUM(BL27:BL68)</f>
        <v>0</v>
      </c>
      <c r="BM69" s="51">
        <f t="shared" ref="BM69" si="233">SUM(BM27:BM68)</f>
        <v>0</v>
      </c>
      <c r="BN69" s="51">
        <f t="shared" ref="BN69" si="234">SUM(BN27:BN68)</f>
        <v>0</v>
      </c>
      <c r="BO69" s="51">
        <f t="shared" ref="BO69" si="235">SUM(BO27:BO68)</f>
        <v>0</v>
      </c>
      <c r="BP69" s="51">
        <f t="shared" ref="BP69" si="236">SUM(BP27:BP68)</f>
        <v>0</v>
      </c>
      <c r="BQ69" s="51">
        <f>SUM(BE69:BP69)</f>
        <v>1124125</v>
      </c>
      <c r="BR69" s="51">
        <f>SUM(BR27:BR68)</f>
        <v>943350</v>
      </c>
      <c r="BS69" s="51">
        <f t="shared" ref="BS69" si="237">SUM(BS27:BS68)</f>
        <v>26250</v>
      </c>
      <c r="BT69" s="51">
        <f t="shared" ref="BT69" si="238">SUM(BT27:BT68)</f>
        <v>19123</v>
      </c>
      <c r="BU69" s="51">
        <f t="shared" ref="BU69" si="239">SUM(BU27:BU68)</f>
        <v>127720</v>
      </c>
      <c r="BV69" s="51">
        <f t="shared" ref="BV69" si="240">SUM(BV27:BV68)</f>
        <v>4500</v>
      </c>
      <c r="BW69" s="51">
        <f t="shared" ref="BW69" si="241">SUM(BW27:BW68)</f>
        <v>3182</v>
      </c>
      <c r="BX69" s="51">
        <f t="shared" ref="BX69" si="242">SUM(BX27:BX68)</f>
        <v>0</v>
      </c>
      <c r="BY69" s="51">
        <f t="shared" ref="BY69" si="243">SUM(BY27:BY68)</f>
        <v>0</v>
      </c>
      <c r="BZ69" s="51">
        <f t="shared" ref="BZ69" si="244">SUM(BZ27:BZ68)</f>
        <v>0</v>
      </c>
      <c r="CA69" s="51">
        <f t="shared" ref="CA69" si="245">SUM(CA27:CA68)</f>
        <v>0</v>
      </c>
      <c r="CB69" s="51">
        <f t="shared" ref="CB69" si="246">SUM(CB27:CB68)</f>
        <v>0</v>
      </c>
      <c r="CC69" s="51">
        <f t="shared" ref="CC69" si="247">SUM(CC27:CC68)</f>
        <v>0</v>
      </c>
      <c r="CD69" s="51">
        <f t="shared" si="8"/>
        <v>1124125</v>
      </c>
      <c r="CE69" s="51">
        <f>+BD69+BQ69+CD69</f>
        <v>3393951.38</v>
      </c>
      <c r="CF69" s="51">
        <f>SUM(CF27:CF68)</f>
        <v>1221460</v>
      </c>
      <c r="CG69" s="51">
        <f t="shared" ref="CG69" si="248">SUM(CG27:CG68)</f>
        <v>26250</v>
      </c>
      <c r="CH69" s="51">
        <f t="shared" ref="CH69" si="249">SUM(CH27:CH68)</f>
        <v>25539</v>
      </c>
      <c r="CI69" s="51">
        <f t="shared" ref="CI69" si="250">SUM(CI27:CI68)</f>
        <v>170420</v>
      </c>
      <c r="CJ69" s="51">
        <f t="shared" ref="CJ69" si="251">SUM(CJ27:CJ68)</f>
        <v>4500</v>
      </c>
      <c r="CK69" s="51">
        <f t="shared" ref="CK69" si="252">SUM(CK27:CK68)</f>
        <v>4238</v>
      </c>
      <c r="CL69" s="51">
        <f t="shared" ref="CL69" si="253">SUM(CL27:CL68)</f>
        <v>0</v>
      </c>
      <c r="CM69" s="51">
        <f t="shared" ref="CM69" si="254">SUM(CM27:CM68)</f>
        <v>0</v>
      </c>
      <c r="CN69" s="51">
        <f t="shared" ref="CN69" si="255">SUM(CN27:CN68)</f>
        <v>0</v>
      </c>
      <c r="CO69" s="51">
        <f t="shared" ref="CO69" si="256">SUM(CO27:CO68)</f>
        <v>0</v>
      </c>
      <c r="CP69" s="51">
        <f t="shared" ref="CP69" si="257">SUM(CP27:CP68)</f>
        <v>0</v>
      </c>
      <c r="CQ69" s="51">
        <f t="shared" ref="CQ69" si="258">SUM(CQ27:CQ68)</f>
        <v>0</v>
      </c>
      <c r="CR69" s="51">
        <f t="shared" si="10"/>
        <v>1452407</v>
      </c>
      <c r="CS69" s="51">
        <f>SUM(CS27:CS68)</f>
        <v>1615360</v>
      </c>
      <c r="CT69" s="51">
        <f t="shared" ref="CT69" si="259">SUM(CT27:CT68)</f>
        <v>27000</v>
      </c>
      <c r="CU69" s="51">
        <f t="shared" ref="CU69" si="260">SUM(CU27:CU68)</f>
        <v>32310</v>
      </c>
      <c r="CV69" s="51">
        <f t="shared" ref="CV69" si="261">SUM(CV27:CV68)</f>
        <v>148100</v>
      </c>
      <c r="CW69" s="51">
        <f t="shared" ref="CW69" si="262">SUM(CW27:CW68)</f>
        <v>3750</v>
      </c>
      <c r="CX69" s="51">
        <f t="shared" ref="CX69" si="263">SUM(CX27:CX68)</f>
        <v>3545</v>
      </c>
      <c r="CY69" s="51">
        <f t="shared" ref="CY69" si="264">SUM(CY27:CY68)</f>
        <v>0</v>
      </c>
      <c r="CZ69" s="51">
        <f t="shared" ref="CZ69" si="265">SUM(CZ27:CZ68)</f>
        <v>0</v>
      </c>
      <c r="DA69" s="51">
        <f t="shared" ref="DA69" si="266">SUM(DA27:DA68)</f>
        <v>0</v>
      </c>
      <c r="DB69" s="51">
        <f t="shared" ref="DB69" si="267">SUM(DB27:DB68)</f>
        <v>0</v>
      </c>
      <c r="DC69" s="51">
        <f t="shared" ref="DC69" si="268">SUM(DC27:DC68)</f>
        <v>0</v>
      </c>
      <c r="DD69" s="51">
        <f t="shared" ref="DD69" si="269">SUM(DD27:DD68)</f>
        <v>0</v>
      </c>
      <c r="DE69" s="51">
        <f>SUM(CS69:DD69)</f>
        <v>1830065</v>
      </c>
      <c r="DF69" s="51">
        <f>SUM(DF27:DF68)</f>
        <v>1001980</v>
      </c>
      <c r="DG69" s="51">
        <f t="shared" ref="DG69" si="270">SUM(DG27:DG68)</f>
        <v>27000</v>
      </c>
      <c r="DH69" s="51">
        <f t="shared" ref="DH69" si="271">SUM(DH27:DH68)</f>
        <v>20604</v>
      </c>
      <c r="DI69" s="51">
        <f t="shared" ref="DI69" si="272">SUM(DI27:DI68)</f>
        <v>114920</v>
      </c>
      <c r="DJ69" s="51">
        <f t="shared" ref="DJ69" si="273">SUM(DJ27:DJ68)</f>
        <v>3750</v>
      </c>
      <c r="DK69" s="51">
        <f t="shared" ref="DK69" si="274">SUM(DK27:DK68)</f>
        <v>2765</v>
      </c>
      <c r="DL69" s="51">
        <f t="shared" ref="DL69" si="275">SUM(DL27:DL68)</f>
        <v>0</v>
      </c>
      <c r="DM69" s="51">
        <f t="shared" ref="DM69" si="276">SUM(DM27:DM68)</f>
        <v>0</v>
      </c>
      <c r="DN69" s="51">
        <f t="shared" ref="DN69" si="277">SUM(DN27:DN68)</f>
        <v>0</v>
      </c>
      <c r="DO69" s="51">
        <f t="shared" ref="DO69" si="278">SUM(DO27:DO68)</f>
        <v>0</v>
      </c>
      <c r="DP69" s="51">
        <f t="shared" ref="DP69" si="279">SUM(DP27:DP68)</f>
        <v>0</v>
      </c>
      <c r="DQ69" s="51">
        <f t="shared" ref="DQ69" si="280">SUM(DQ27:DQ68)</f>
        <v>0</v>
      </c>
      <c r="DR69" s="51">
        <f t="shared" si="11"/>
        <v>1171019</v>
      </c>
      <c r="DS69" s="51">
        <f>+CR69+DE69+DR69</f>
        <v>4453491</v>
      </c>
      <c r="DT69" s="51">
        <f>SUM(DT27:DT68)</f>
        <v>1104210</v>
      </c>
      <c r="DU69" s="51">
        <f t="shared" ref="DU69" si="281">SUM(DU27:DU68)</f>
        <v>27000</v>
      </c>
      <c r="DV69" s="51">
        <f t="shared" ref="DV69" si="282">SUM(DV27:DV68)</f>
        <v>23404</v>
      </c>
      <c r="DW69" s="51">
        <f t="shared" ref="DW69" si="283">SUM(DW27:DW68)</f>
        <v>120450</v>
      </c>
      <c r="DX69" s="51">
        <f t="shared" ref="DX69" si="284">SUM(DX27:DX68)</f>
        <v>3750</v>
      </c>
      <c r="DY69" s="51">
        <f t="shared" ref="DY69" si="285">SUM(DY27:DY68)</f>
        <v>2895</v>
      </c>
      <c r="DZ69" s="51">
        <f t="shared" ref="DZ69" si="286">SUM(DZ27:DZ68)</f>
        <v>0</v>
      </c>
      <c r="EA69" s="51">
        <f t="shared" ref="EA69" si="287">SUM(EA27:EA68)</f>
        <v>0</v>
      </c>
      <c r="EB69" s="51">
        <f t="shared" ref="EB69" si="288">SUM(EB27:EB68)</f>
        <v>0</v>
      </c>
      <c r="EC69" s="51">
        <f t="shared" ref="EC69" si="289">SUM(EC27:EC68)</f>
        <v>0</v>
      </c>
      <c r="ED69" s="51">
        <f t="shared" ref="ED69" si="290">SUM(ED27:ED68)</f>
        <v>0</v>
      </c>
      <c r="EE69" s="51">
        <f t="shared" ref="EE69" si="291">SUM(EE27:EE68)</f>
        <v>0</v>
      </c>
      <c r="EF69" s="51">
        <f t="shared" si="13"/>
        <v>1281709</v>
      </c>
      <c r="EG69" s="51">
        <f>SUM(EG27:EG68)</f>
        <v>1104210</v>
      </c>
      <c r="EH69" s="51">
        <f t="shared" ref="EH69" si="292">SUM(EH27:EH68)</f>
        <v>27000</v>
      </c>
      <c r="EI69" s="51">
        <f t="shared" ref="EI69" si="293">SUM(EI27:EI68)</f>
        <v>23404</v>
      </c>
      <c r="EJ69" s="51">
        <f t="shared" ref="EJ69" si="294">SUM(EJ27:EJ68)</f>
        <v>120450</v>
      </c>
      <c r="EK69" s="51">
        <f t="shared" ref="EK69" si="295">SUM(EK27:EK68)</f>
        <v>3750</v>
      </c>
      <c r="EL69" s="51">
        <f t="shared" ref="EL69" si="296">SUM(EL27:EL68)</f>
        <v>2895</v>
      </c>
      <c r="EM69" s="51">
        <f t="shared" ref="EM69" si="297">SUM(EM27:EM68)</f>
        <v>0</v>
      </c>
      <c r="EN69" s="51">
        <f t="shared" ref="EN69" si="298">SUM(EN27:EN68)</f>
        <v>0</v>
      </c>
      <c r="EO69" s="51">
        <f t="shared" ref="EO69" si="299">SUM(EO27:EO68)</f>
        <v>0</v>
      </c>
      <c r="EP69" s="51">
        <f t="shared" ref="EP69" si="300">SUM(EP27:EP68)</f>
        <v>0</v>
      </c>
      <c r="EQ69" s="51">
        <f t="shared" ref="EQ69" si="301">SUM(EQ27:EQ68)</f>
        <v>0</v>
      </c>
      <c r="ER69" s="51">
        <f t="shared" ref="ER69" si="302">SUM(ER27:ER68)</f>
        <v>0</v>
      </c>
      <c r="ES69" s="51">
        <f>SUM(EG69:ER69)</f>
        <v>1281709</v>
      </c>
      <c r="ET69" s="51">
        <f>SUM(ET27:ET68)</f>
        <v>1104210</v>
      </c>
      <c r="EU69" s="51">
        <f t="shared" ref="EU69" si="303">SUM(EU27:EU68)</f>
        <v>27000</v>
      </c>
      <c r="EV69" s="51">
        <f t="shared" ref="EV69" si="304">SUM(EV27:EV68)</f>
        <v>23404</v>
      </c>
      <c r="EW69" s="51">
        <f t="shared" ref="EW69" si="305">SUM(EW27:EW68)</f>
        <v>120450</v>
      </c>
      <c r="EX69" s="51">
        <f t="shared" ref="EX69" si="306">SUM(EX27:EX68)</f>
        <v>3750</v>
      </c>
      <c r="EY69" s="51">
        <f t="shared" ref="EY69" si="307">SUM(EY27:EY68)</f>
        <v>2895</v>
      </c>
      <c r="EZ69" s="51">
        <f t="shared" ref="EZ69" si="308">SUM(EZ27:EZ68)</f>
        <v>0</v>
      </c>
      <c r="FA69" s="51">
        <f t="shared" ref="FA69" si="309">SUM(FA27:FA68)</f>
        <v>0</v>
      </c>
      <c r="FB69" s="51">
        <f t="shared" ref="FB69" si="310">SUM(FB27:FB68)</f>
        <v>0</v>
      </c>
      <c r="FC69" s="51">
        <f t="shared" ref="FC69" si="311">SUM(FC27:FC68)</f>
        <v>0</v>
      </c>
      <c r="FD69" s="51">
        <f t="shared" ref="FD69" si="312">SUM(FD27:FD68)</f>
        <v>0</v>
      </c>
      <c r="FE69" s="51">
        <f t="shared" ref="FE69" si="313">SUM(FE27:FE68)</f>
        <v>0</v>
      </c>
      <c r="FF69" s="51">
        <f t="shared" si="14"/>
        <v>1281709</v>
      </c>
      <c r="FG69" s="51">
        <f>+EF69+ES69+FF69</f>
        <v>3845127</v>
      </c>
      <c r="FH69" s="35">
        <f t="shared" si="16"/>
        <v>14923944.379999999</v>
      </c>
    </row>
    <row r="70" spans="1:164" x14ac:dyDescent="0.35">
      <c r="A70" s="34" t="s">
        <v>4</v>
      </c>
      <c r="B70" s="40" t="s">
        <v>118</v>
      </c>
      <c r="C70" s="41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>
        <f t="shared" si="5"/>
        <v>0</v>
      </c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>
        <f t="shared" si="168"/>
        <v>0</v>
      </c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>
        <f t="shared" si="1"/>
        <v>0</v>
      </c>
      <c r="AQ70" s="35">
        <f t="shared" si="169"/>
        <v>0</v>
      </c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>
        <f t="shared" si="6"/>
        <v>0</v>
      </c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>
        <f t="shared" si="7"/>
        <v>0</v>
      </c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>
        <f t="shared" si="8"/>
        <v>0</v>
      </c>
      <c r="CE70" s="35">
        <f t="shared" si="9"/>
        <v>0</v>
      </c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>
        <f t="shared" si="10"/>
        <v>0</v>
      </c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>
        <f t="shared" si="3"/>
        <v>0</v>
      </c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>
        <f t="shared" si="11"/>
        <v>0</v>
      </c>
      <c r="DS70" s="35">
        <f t="shared" si="12"/>
        <v>0</v>
      </c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>
        <f t="shared" si="13"/>
        <v>0</v>
      </c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>
        <f t="shared" si="4"/>
        <v>0</v>
      </c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>
        <f t="shared" si="14"/>
        <v>0</v>
      </c>
      <c r="FG70" s="35">
        <f t="shared" si="15"/>
        <v>0</v>
      </c>
      <c r="FH70" s="35">
        <f t="shared" si="16"/>
        <v>0</v>
      </c>
    </row>
    <row r="71" spans="1:164" x14ac:dyDescent="0.35">
      <c r="A71" s="34"/>
      <c r="B71" s="40"/>
      <c r="C71" s="41" t="s">
        <v>171</v>
      </c>
      <c r="D71" s="35"/>
      <c r="E71" s="35"/>
      <c r="F71" s="35"/>
      <c r="G71" s="35">
        <v>22170</v>
      </c>
      <c r="H71" s="35">
        <v>750</v>
      </c>
      <c r="I71" s="35">
        <v>665</v>
      </c>
      <c r="J71" s="35"/>
      <c r="K71" s="35"/>
      <c r="L71" s="35"/>
      <c r="M71" s="35"/>
      <c r="N71" s="35"/>
      <c r="O71" s="35"/>
      <c r="P71" s="35">
        <f t="shared" si="5"/>
        <v>23585</v>
      </c>
      <c r="Q71" s="35"/>
      <c r="R71" s="35"/>
      <c r="S71" s="35"/>
      <c r="T71" s="35">
        <v>22170</v>
      </c>
      <c r="U71" s="35">
        <v>750</v>
      </c>
      <c r="V71" s="35">
        <v>665</v>
      </c>
      <c r="W71" s="35"/>
      <c r="X71" s="35"/>
      <c r="Y71" s="35"/>
      <c r="Z71" s="35"/>
      <c r="AA71" s="35"/>
      <c r="AB71" s="35"/>
      <c r="AC71" s="35">
        <f t="shared" si="168"/>
        <v>23585</v>
      </c>
      <c r="AD71" s="35"/>
      <c r="AE71" s="35"/>
      <c r="AF71" s="35"/>
      <c r="AG71" s="35">
        <v>22170</v>
      </c>
      <c r="AH71" s="35">
        <v>750</v>
      </c>
      <c r="AI71" s="35">
        <v>665</v>
      </c>
      <c r="AJ71" s="35"/>
      <c r="AK71" s="35"/>
      <c r="AL71" s="35"/>
      <c r="AM71" s="35"/>
      <c r="AN71" s="35"/>
      <c r="AO71" s="35"/>
      <c r="AP71" s="35">
        <f t="shared" si="1"/>
        <v>23585</v>
      </c>
      <c r="AQ71" s="35">
        <f t="shared" si="169"/>
        <v>70755</v>
      </c>
      <c r="AR71" s="35"/>
      <c r="AS71" s="35"/>
      <c r="AT71" s="35"/>
      <c r="AU71" s="35">
        <v>22170</v>
      </c>
      <c r="AV71" s="35">
        <v>750</v>
      </c>
      <c r="AW71" s="35">
        <v>665</v>
      </c>
      <c r="AX71" s="35"/>
      <c r="AY71" s="35"/>
      <c r="AZ71" s="35"/>
      <c r="BA71" s="35"/>
      <c r="BB71" s="35"/>
      <c r="BC71" s="35"/>
      <c r="BD71" s="35">
        <f t="shared" si="6"/>
        <v>23585</v>
      </c>
      <c r="BE71" s="35"/>
      <c r="BF71" s="35"/>
      <c r="BG71" s="35"/>
      <c r="BH71" s="35">
        <v>22170</v>
      </c>
      <c r="BI71" s="35">
        <v>750</v>
      </c>
      <c r="BJ71" s="35">
        <v>665</v>
      </c>
      <c r="BK71" s="35"/>
      <c r="BL71" s="35"/>
      <c r="BM71" s="35"/>
      <c r="BN71" s="35"/>
      <c r="BO71" s="35"/>
      <c r="BP71" s="35"/>
      <c r="BQ71" s="35">
        <f t="shared" si="7"/>
        <v>23585</v>
      </c>
      <c r="BR71" s="35"/>
      <c r="BS71" s="35"/>
      <c r="BT71" s="35"/>
      <c r="BU71" s="35">
        <v>22170</v>
      </c>
      <c r="BV71" s="35">
        <v>750</v>
      </c>
      <c r="BW71" s="35">
        <v>665</v>
      </c>
      <c r="BX71" s="35"/>
      <c r="BY71" s="35"/>
      <c r="BZ71" s="35"/>
      <c r="CA71" s="35"/>
      <c r="CB71" s="35"/>
      <c r="CC71" s="35"/>
      <c r="CD71" s="35">
        <f t="shared" si="8"/>
        <v>23585</v>
      </c>
      <c r="CE71" s="35">
        <f t="shared" si="9"/>
        <v>70755</v>
      </c>
      <c r="CF71" s="35"/>
      <c r="CG71" s="35"/>
      <c r="CH71" s="35"/>
      <c r="CI71" s="35">
        <f t="shared" ref="CI71:CI77" si="314">23280+(1110*6)</f>
        <v>29940</v>
      </c>
      <c r="CJ71" s="35">
        <v>750</v>
      </c>
      <c r="CK71" s="35">
        <f t="shared" ref="CK71:CK79" si="315">698+(33*6)</f>
        <v>896</v>
      </c>
      <c r="CL71" s="35"/>
      <c r="CM71" s="35"/>
      <c r="CN71" s="35"/>
      <c r="CO71" s="35"/>
      <c r="CP71" s="35"/>
      <c r="CQ71" s="35"/>
      <c r="CR71" s="35">
        <f t="shared" si="10"/>
        <v>31586</v>
      </c>
      <c r="CS71" s="35"/>
      <c r="CT71" s="35"/>
      <c r="CU71" s="35"/>
      <c r="CV71" s="35">
        <f t="shared" ref="CV71:CV77" si="316">23280+1200*6</f>
        <v>30480</v>
      </c>
      <c r="CW71" s="35">
        <v>750</v>
      </c>
      <c r="CX71" s="35">
        <f t="shared" ref="CX71:CX79" si="317">698+36*6</f>
        <v>914</v>
      </c>
      <c r="CY71" s="35"/>
      <c r="CZ71" s="35"/>
      <c r="DA71" s="35"/>
      <c r="DB71" s="35"/>
      <c r="DC71" s="35"/>
      <c r="DD71" s="35"/>
      <c r="DE71" s="35">
        <f t="shared" si="3"/>
        <v>32144</v>
      </c>
      <c r="DF71" s="35"/>
      <c r="DG71" s="35"/>
      <c r="DH71" s="35"/>
      <c r="DI71" s="35">
        <v>23280</v>
      </c>
      <c r="DJ71" s="35">
        <v>750</v>
      </c>
      <c r="DK71" s="35">
        <v>698</v>
      </c>
      <c r="DL71" s="35"/>
      <c r="DM71" s="35"/>
      <c r="DN71" s="35"/>
      <c r="DO71" s="35"/>
      <c r="DP71" s="35"/>
      <c r="DQ71" s="35"/>
      <c r="DR71" s="35">
        <f t="shared" si="11"/>
        <v>24728</v>
      </c>
      <c r="DS71" s="35">
        <f t="shared" si="12"/>
        <v>88458</v>
      </c>
      <c r="DT71" s="35"/>
      <c r="DU71" s="35"/>
      <c r="DV71" s="35"/>
      <c r="DW71" s="35">
        <v>24480</v>
      </c>
      <c r="DX71" s="35">
        <v>750</v>
      </c>
      <c r="DY71" s="35">
        <v>734</v>
      </c>
      <c r="DZ71" s="35"/>
      <c r="EA71" s="35"/>
      <c r="EB71" s="35"/>
      <c r="EC71" s="35"/>
      <c r="ED71" s="35"/>
      <c r="EE71" s="35"/>
      <c r="EF71" s="35">
        <f t="shared" si="13"/>
        <v>25964</v>
      </c>
      <c r="EG71" s="35"/>
      <c r="EH71" s="35"/>
      <c r="EI71" s="35"/>
      <c r="EJ71" s="35">
        <v>24480</v>
      </c>
      <c r="EK71" s="35">
        <v>750</v>
      </c>
      <c r="EL71" s="35">
        <v>734</v>
      </c>
      <c r="EM71" s="35"/>
      <c r="EN71" s="35"/>
      <c r="EO71" s="35"/>
      <c r="EP71" s="35"/>
      <c r="EQ71" s="35"/>
      <c r="ER71" s="35"/>
      <c r="ES71" s="35">
        <f t="shared" si="4"/>
        <v>25964</v>
      </c>
      <c r="ET71" s="35"/>
      <c r="EU71" s="35"/>
      <c r="EV71" s="35"/>
      <c r="EW71" s="35">
        <v>24480</v>
      </c>
      <c r="EX71" s="35">
        <v>750</v>
      </c>
      <c r="EY71" s="35">
        <v>734</v>
      </c>
      <c r="EZ71" s="35"/>
      <c r="FA71" s="35"/>
      <c r="FB71" s="35"/>
      <c r="FC71" s="35"/>
      <c r="FD71" s="35"/>
      <c r="FE71" s="35"/>
      <c r="FF71" s="35">
        <f t="shared" si="14"/>
        <v>25964</v>
      </c>
      <c r="FG71" s="35">
        <f t="shared" si="15"/>
        <v>77892</v>
      </c>
      <c r="FH71" s="35">
        <f t="shared" si="16"/>
        <v>307860</v>
      </c>
    </row>
    <row r="72" spans="1:164" x14ac:dyDescent="0.35">
      <c r="A72" s="34"/>
      <c r="B72" s="40"/>
      <c r="C72" s="41" t="s">
        <v>172</v>
      </c>
      <c r="D72" s="35"/>
      <c r="E72" s="35"/>
      <c r="F72" s="35"/>
      <c r="G72" s="35">
        <v>22170</v>
      </c>
      <c r="H72" s="35">
        <v>750</v>
      </c>
      <c r="I72" s="35">
        <v>665</v>
      </c>
      <c r="J72" s="35"/>
      <c r="K72" s="35"/>
      <c r="L72" s="35"/>
      <c r="M72" s="35"/>
      <c r="N72" s="35"/>
      <c r="O72" s="35"/>
      <c r="P72" s="35">
        <f t="shared" si="5"/>
        <v>23585</v>
      </c>
      <c r="Q72" s="35"/>
      <c r="R72" s="35"/>
      <c r="S72" s="35"/>
      <c r="T72" s="35">
        <v>22170</v>
      </c>
      <c r="U72" s="35">
        <v>750</v>
      </c>
      <c r="V72" s="35">
        <v>665</v>
      </c>
      <c r="W72" s="35"/>
      <c r="X72" s="35"/>
      <c r="Y72" s="35"/>
      <c r="Z72" s="35"/>
      <c r="AA72" s="35"/>
      <c r="AB72" s="35"/>
      <c r="AC72" s="35">
        <f t="shared" si="168"/>
        <v>23585</v>
      </c>
      <c r="AD72" s="35"/>
      <c r="AE72" s="35"/>
      <c r="AF72" s="35"/>
      <c r="AG72" s="35">
        <v>22170</v>
      </c>
      <c r="AH72" s="35">
        <v>750</v>
      </c>
      <c r="AI72" s="35">
        <v>665</v>
      </c>
      <c r="AJ72" s="35"/>
      <c r="AK72" s="35"/>
      <c r="AL72" s="35"/>
      <c r="AM72" s="35"/>
      <c r="AN72" s="35"/>
      <c r="AO72" s="35"/>
      <c r="AP72" s="35">
        <f t="shared" si="1"/>
        <v>23585</v>
      </c>
      <c r="AQ72" s="35">
        <f t="shared" si="169"/>
        <v>70755</v>
      </c>
      <c r="AR72" s="35"/>
      <c r="AS72" s="35"/>
      <c r="AT72" s="35"/>
      <c r="AU72" s="35">
        <v>22170</v>
      </c>
      <c r="AV72" s="35">
        <v>750</v>
      </c>
      <c r="AW72" s="35">
        <v>665</v>
      </c>
      <c r="AX72" s="35"/>
      <c r="AY72" s="35"/>
      <c r="AZ72" s="35"/>
      <c r="BA72" s="35"/>
      <c r="BB72" s="35"/>
      <c r="BC72" s="35"/>
      <c r="BD72" s="35">
        <f t="shared" si="6"/>
        <v>23585</v>
      </c>
      <c r="BE72" s="35"/>
      <c r="BF72" s="35"/>
      <c r="BG72" s="35"/>
      <c r="BH72" s="35">
        <v>22170</v>
      </c>
      <c r="BI72" s="35">
        <v>750</v>
      </c>
      <c r="BJ72" s="35">
        <v>665</v>
      </c>
      <c r="BK72" s="35"/>
      <c r="BL72" s="35"/>
      <c r="BM72" s="35"/>
      <c r="BN72" s="35"/>
      <c r="BO72" s="35"/>
      <c r="BP72" s="35"/>
      <c r="BQ72" s="35">
        <f t="shared" si="7"/>
        <v>23585</v>
      </c>
      <c r="BR72" s="35"/>
      <c r="BS72" s="35"/>
      <c r="BT72" s="35"/>
      <c r="BU72" s="35">
        <v>22170</v>
      </c>
      <c r="BV72" s="35">
        <v>750</v>
      </c>
      <c r="BW72" s="35">
        <v>665</v>
      </c>
      <c r="BX72" s="35"/>
      <c r="BY72" s="35"/>
      <c r="BZ72" s="35"/>
      <c r="CA72" s="35"/>
      <c r="CB72" s="35"/>
      <c r="CC72" s="35"/>
      <c r="CD72" s="35">
        <f t="shared" si="8"/>
        <v>23585</v>
      </c>
      <c r="CE72" s="35">
        <f t="shared" si="9"/>
        <v>70755</v>
      </c>
      <c r="CF72" s="35"/>
      <c r="CG72" s="35"/>
      <c r="CH72" s="35"/>
      <c r="CI72" s="35">
        <f t="shared" si="314"/>
        <v>29940</v>
      </c>
      <c r="CJ72" s="35">
        <v>750</v>
      </c>
      <c r="CK72" s="35">
        <f t="shared" si="315"/>
        <v>896</v>
      </c>
      <c r="CL72" s="35"/>
      <c r="CM72" s="35"/>
      <c r="CN72" s="35"/>
      <c r="CO72" s="35"/>
      <c r="CP72" s="35"/>
      <c r="CQ72" s="35"/>
      <c r="CR72" s="35">
        <f t="shared" si="10"/>
        <v>31586</v>
      </c>
      <c r="CS72" s="35"/>
      <c r="CT72" s="35"/>
      <c r="CU72" s="35"/>
      <c r="CV72" s="35">
        <f t="shared" si="316"/>
        <v>30480</v>
      </c>
      <c r="CW72" s="35">
        <v>750</v>
      </c>
      <c r="CX72" s="35">
        <f t="shared" si="317"/>
        <v>914</v>
      </c>
      <c r="CY72" s="35"/>
      <c r="CZ72" s="35"/>
      <c r="DA72" s="35"/>
      <c r="DB72" s="35"/>
      <c r="DC72" s="35"/>
      <c r="DD72" s="35"/>
      <c r="DE72" s="35">
        <f t="shared" si="3"/>
        <v>32144</v>
      </c>
      <c r="DF72" s="35"/>
      <c r="DG72" s="35"/>
      <c r="DH72" s="35"/>
      <c r="DI72" s="35">
        <v>23280</v>
      </c>
      <c r="DJ72" s="35">
        <v>750</v>
      </c>
      <c r="DK72" s="35">
        <v>698</v>
      </c>
      <c r="DL72" s="35"/>
      <c r="DM72" s="35"/>
      <c r="DN72" s="35"/>
      <c r="DO72" s="35"/>
      <c r="DP72" s="35"/>
      <c r="DQ72" s="35"/>
      <c r="DR72" s="35">
        <f t="shared" si="11"/>
        <v>24728</v>
      </c>
      <c r="DS72" s="35">
        <f t="shared" si="12"/>
        <v>88458</v>
      </c>
      <c r="DT72" s="35"/>
      <c r="DU72" s="35"/>
      <c r="DV72" s="35"/>
      <c r="DW72" s="35">
        <v>24480</v>
      </c>
      <c r="DX72" s="35">
        <v>750</v>
      </c>
      <c r="DY72" s="35">
        <v>0</v>
      </c>
      <c r="DZ72" s="35"/>
      <c r="EA72" s="35"/>
      <c r="EB72" s="35"/>
      <c r="EC72" s="35"/>
      <c r="ED72" s="35"/>
      <c r="EE72" s="35"/>
      <c r="EF72" s="35">
        <f t="shared" si="13"/>
        <v>25230</v>
      </c>
      <c r="EG72" s="35"/>
      <c r="EH72" s="35"/>
      <c r="EI72" s="35"/>
      <c r="EJ72" s="35">
        <v>24480</v>
      </c>
      <c r="EK72" s="35">
        <v>750</v>
      </c>
      <c r="EL72" s="35">
        <v>0</v>
      </c>
      <c r="EM72" s="35"/>
      <c r="EN72" s="35"/>
      <c r="EO72" s="35"/>
      <c r="EP72" s="35"/>
      <c r="EQ72" s="35"/>
      <c r="ER72" s="35"/>
      <c r="ES72" s="35">
        <f t="shared" si="4"/>
        <v>25230</v>
      </c>
      <c r="ET72" s="35"/>
      <c r="EU72" s="35"/>
      <c r="EV72" s="35"/>
      <c r="EW72" s="35">
        <v>24480</v>
      </c>
      <c r="EX72" s="35">
        <v>750</v>
      </c>
      <c r="EY72" s="35">
        <v>0</v>
      </c>
      <c r="EZ72" s="35"/>
      <c r="FA72" s="35"/>
      <c r="FB72" s="35"/>
      <c r="FC72" s="35"/>
      <c r="FD72" s="35"/>
      <c r="FE72" s="35"/>
      <c r="FF72" s="35">
        <f t="shared" si="14"/>
        <v>25230</v>
      </c>
      <c r="FG72" s="35">
        <f t="shared" si="15"/>
        <v>75690</v>
      </c>
      <c r="FH72" s="35">
        <f t="shared" si="16"/>
        <v>305658</v>
      </c>
    </row>
    <row r="73" spans="1:164" x14ac:dyDescent="0.35">
      <c r="A73" s="34"/>
      <c r="B73" s="40"/>
      <c r="C73" s="41" t="s">
        <v>173</v>
      </c>
      <c r="D73" s="35"/>
      <c r="E73" s="35"/>
      <c r="F73" s="35"/>
      <c r="G73" s="35">
        <v>22170</v>
      </c>
      <c r="H73" s="35">
        <v>750</v>
      </c>
      <c r="I73" s="35">
        <v>665</v>
      </c>
      <c r="J73" s="35"/>
      <c r="K73" s="35"/>
      <c r="L73" s="35"/>
      <c r="M73" s="35"/>
      <c r="N73" s="35"/>
      <c r="O73" s="35"/>
      <c r="P73" s="35">
        <f t="shared" si="5"/>
        <v>23585</v>
      </c>
      <c r="Q73" s="35"/>
      <c r="R73" s="35"/>
      <c r="S73" s="35"/>
      <c r="T73" s="35">
        <v>22170</v>
      </c>
      <c r="U73" s="35">
        <v>750</v>
      </c>
      <c r="V73" s="35">
        <v>665</v>
      </c>
      <c r="W73" s="35"/>
      <c r="X73" s="35"/>
      <c r="Y73" s="35"/>
      <c r="Z73" s="35"/>
      <c r="AA73" s="35"/>
      <c r="AB73" s="35"/>
      <c r="AC73" s="35">
        <f t="shared" si="168"/>
        <v>23585</v>
      </c>
      <c r="AD73" s="35"/>
      <c r="AE73" s="35"/>
      <c r="AF73" s="35"/>
      <c r="AG73" s="35">
        <v>22170</v>
      </c>
      <c r="AH73" s="35">
        <v>750</v>
      </c>
      <c r="AI73" s="35">
        <v>665</v>
      </c>
      <c r="AJ73" s="35"/>
      <c r="AK73" s="35"/>
      <c r="AL73" s="35"/>
      <c r="AM73" s="35"/>
      <c r="AN73" s="35"/>
      <c r="AO73" s="35"/>
      <c r="AP73" s="35">
        <f t="shared" si="1"/>
        <v>23585</v>
      </c>
      <c r="AQ73" s="35">
        <f t="shared" si="169"/>
        <v>70755</v>
      </c>
      <c r="AR73" s="35"/>
      <c r="AS73" s="35"/>
      <c r="AT73" s="35"/>
      <c r="AU73" s="35">
        <v>22170</v>
      </c>
      <c r="AV73" s="35">
        <v>750</v>
      </c>
      <c r="AW73" s="35">
        <v>665</v>
      </c>
      <c r="AX73" s="35"/>
      <c r="AY73" s="35"/>
      <c r="AZ73" s="35"/>
      <c r="BA73" s="35"/>
      <c r="BB73" s="35"/>
      <c r="BC73" s="35"/>
      <c r="BD73" s="35">
        <f t="shared" si="6"/>
        <v>23585</v>
      </c>
      <c r="BE73" s="35"/>
      <c r="BF73" s="35"/>
      <c r="BG73" s="35"/>
      <c r="BH73" s="35">
        <v>22170</v>
      </c>
      <c r="BI73" s="35">
        <v>750</v>
      </c>
      <c r="BJ73" s="35">
        <v>665</v>
      </c>
      <c r="BK73" s="35"/>
      <c r="BL73" s="35"/>
      <c r="BM73" s="35"/>
      <c r="BN73" s="35"/>
      <c r="BO73" s="35"/>
      <c r="BP73" s="35"/>
      <c r="BQ73" s="35">
        <f t="shared" si="7"/>
        <v>23585</v>
      </c>
      <c r="BR73" s="35"/>
      <c r="BS73" s="35"/>
      <c r="BT73" s="35"/>
      <c r="BU73" s="35">
        <v>22170</v>
      </c>
      <c r="BV73" s="35">
        <v>750</v>
      </c>
      <c r="BW73" s="35">
        <v>665</v>
      </c>
      <c r="BX73" s="35"/>
      <c r="BY73" s="35"/>
      <c r="BZ73" s="35"/>
      <c r="CA73" s="35"/>
      <c r="CB73" s="35"/>
      <c r="CC73" s="35"/>
      <c r="CD73" s="35">
        <f t="shared" si="8"/>
        <v>23585</v>
      </c>
      <c r="CE73" s="35">
        <f t="shared" si="9"/>
        <v>70755</v>
      </c>
      <c r="CF73" s="35"/>
      <c r="CG73" s="35"/>
      <c r="CH73" s="35"/>
      <c r="CI73" s="35">
        <f t="shared" si="314"/>
        <v>29940</v>
      </c>
      <c r="CJ73" s="35">
        <v>750</v>
      </c>
      <c r="CK73" s="35">
        <f t="shared" si="315"/>
        <v>896</v>
      </c>
      <c r="CL73" s="35"/>
      <c r="CM73" s="35"/>
      <c r="CN73" s="35"/>
      <c r="CO73" s="35"/>
      <c r="CP73" s="35"/>
      <c r="CQ73" s="35"/>
      <c r="CR73" s="35">
        <f t="shared" si="10"/>
        <v>31586</v>
      </c>
      <c r="CS73" s="35"/>
      <c r="CT73" s="35"/>
      <c r="CU73" s="35"/>
      <c r="CV73" s="35">
        <f t="shared" si="316"/>
        <v>30480</v>
      </c>
      <c r="CW73" s="35">
        <v>750</v>
      </c>
      <c r="CX73" s="35">
        <f t="shared" si="317"/>
        <v>914</v>
      </c>
      <c r="CY73" s="35"/>
      <c r="CZ73" s="35"/>
      <c r="DA73" s="35"/>
      <c r="DB73" s="35"/>
      <c r="DC73" s="35"/>
      <c r="DD73" s="35"/>
      <c r="DE73" s="35">
        <f t="shared" si="3"/>
        <v>32144</v>
      </c>
      <c r="DF73" s="35"/>
      <c r="DG73" s="35"/>
      <c r="DH73" s="35"/>
      <c r="DI73" s="35">
        <v>23280</v>
      </c>
      <c r="DJ73" s="35">
        <v>750</v>
      </c>
      <c r="DK73" s="35">
        <v>698</v>
      </c>
      <c r="DL73" s="35"/>
      <c r="DM73" s="35"/>
      <c r="DN73" s="35"/>
      <c r="DO73" s="35"/>
      <c r="DP73" s="35"/>
      <c r="DQ73" s="35"/>
      <c r="DR73" s="35">
        <f t="shared" si="11"/>
        <v>24728</v>
      </c>
      <c r="DS73" s="35">
        <f t="shared" si="12"/>
        <v>88458</v>
      </c>
      <c r="DT73" s="35"/>
      <c r="DU73" s="35"/>
      <c r="DV73" s="35"/>
      <c r="DW73" s="35">
        <v>24480</v>
      </c>
      <c r="DX73" s="35">
        <v>750</v>
      </c>
      <c r="DY73" s="35">
        <v>734</v>
      </c>
      <c r="DZ73" s="35"/>
      <c r="EA73" s="35"/>
      <c r="EB73" s="35"/>
      <c r="EC73" s="35"/>
      <c r="ED73" s="35"/>
      <c r="EE73" s="35"/>
      <c r="EF73" s="35">
        <f t="shared" si="13"/>
        <v>25964</v>
      </c>
      <c r="EG73" s="35"/>
      <c r="EH73" s="35"/>
      <c r="EI73" s="35"/>
      <c r="EJ73" s="35">
        <v>24480</v>
      </c>
      <c r="EK73" s="35">
        <v>750</v>
      </c>
      <c r="EL73" s="35">
        <v>734</v>
      </c>
      <c r="EM73" s="35"/>
      <c r="EN73" s="35"/>
      <c r="EO73" s="35"/>
      <c r="EP73" s="35"/>
      <c r="EQ73" s="35"/>
      <c r="ER73" s="35"/>
      <c r="ES73" s="35">
        <f t="shared" si="4"/>
        <v>25964</v>
      </c>
      <c r="ET73" s="35"/>
      <c r="EU73" s="35"/>
      <c r="EV73" s="35"/>
      <c r="EW73" s="35">
        <v>24480</v>
      </c>
      <c r="EX73" s="35">
        <v>750</v>
      </c>
      <c r="EY73" s="35">
        <v>734</v>
      </c>
      <c r="EZ73" s="35"/>
      <c r="FA73" s="35"/>
      <c r="FB73" s="35"/>
      <c r="FC73" s="35"/>
      <c r="FD73" s="35"/>
      <c r="FE73" s="35"/>
      <c r="FF73" s="35">
        <f t="shared" si="14"/>
        <v>25964</v>
      </c>
      <c r="FG73" s="35">
        <f t="shared" si="15"/>
        <v>77892</v>
      </c>
      <c r="FH73" s="35">
        <f t="shared" si="16"/>
        <v>307860</v>
      </c>
    </row>
    <row r="74" spans="1:164" x14ac:dyDescent="0.35">
      <c r="A74" s="34"/>
      <c r="B74" s="40"/>
      <c r="C74" s="41" t="s">
        <v>174</v>
      </c>
      <c r="D74" s="35"/>
      <c r="E74" s="35"/>
      <c r="F74" s="35"/>
      <c r="G74" s="35">
        <v>22170</v>
      </c>
      <c r="H74" s="35">
        <v>750</v>
      </c>
      <c r="I74" s="35">
        <v>665</v>
      </c>
      <c r="J74" s="35"/>
      <c r="K74" s="35"/>
      <c r="L74" s="35"/>
      <c r="M74" s="35"/>
      <c r="N74" s="35"/>
      <c r="O74" s="35"/>
      <c r="P74" s="35">
        <f t="shared" si="5"/>
        <v>23585</v>
      </c>
      <c r="Q74" s="35"/>
      <c r="R74" s="35"/>
      <c r="S74" s="35"/>
      <c r="T74" s="35">
        <v>22170</v>
      </c>
      <c r="U74" s="35">
        <v>750</v>
      </c>
      <c r="V74" s="35">
        <v>665</v>
      </c>
      <c r="W74" s="35"/>
      <c r="X74" s="35"/>
      <c r="Y74" s="35"/>
      <c r="Z74" s="35"/>
      <c r="AA74" s="35"/>
      <c r="AB74" s="35"/>
      <c r="AC74" s="35">
        <f t="shared" si="168"/>
        <v>23585</v>
      </c>
      <c r="AD74" s="35"/>
      <c r="AE74" s="35"/>
      <c r="AF74" s="35"/>
      <c r="AG74" s="35">
        <v>22170</v>
      </c>
      <c r="AH74" s="35">
        <v>750</v>
      </c>
      <c r="AI74" s="35">
        <v>665</v>
      </c>
      <c r="AJ74" s="35"/>
      <c r="AK74" s="35"/>
      <c r="AL74" s="35"/>
      <c r="AM74" s="35"/>
      <c r="AN74" s="35"/>
      <c r="AO74" s="35"/>
      <c r="AP74" s="35">
        <f t="shared" si="1"/>
        <v>23585</v>
      </c>
      <c r="AQ74" s="35">
        <f t="shared" si="169"/>
        <v>70755</v>
      </c>
      <c r="AR74" s="35"/>
      <c r="AS74" s="35"/>
      <c r="AT74" s="35"/>
      <c r="AU74" s="35">
        <v>22170</v>
      </c>
      <c r="AV74" s="35">
        <v>750</v>
      </c>
      <c r="AW74" s="35">
        <v>665</v>
      </c>
      <c r="AX74" s="35"/>
      <c r="AY74" s="35"/>
      <c r="AZ74" s="35"/>
      <c r="BA74" s="35"/>
      <c r="BB74" s="35"/>
      <c r="BC74" s="35"/>
      <c r="BD74" s="35">
        <f t="shared" si="6"/>
        <v>23585</v>
      </c>
      <c r="BE74" s="35"/>
      <c r="BF74" s="35"/>
      <c r="BG74" s="35"/>
      <c r="BH74" s="35">
        <v>22170</v>
      </c>
      <c r="BI74" s="35">
        <v>750</v>
      </c>
      <c r="BJ74" s="35">
        <v>665</v>
      </c>
      <c r="BK74" s="35"/>
      <c r="BL74" s="35"/>
      <c r="BM74" s="35"/>
      <c r="BN74" s="35"/>
      <c r="BO74" s="35"/>
      <c r="BP74" s="35"/>
      <c r="BQ74" s="35">
        <f t="shared" si="7"/>
        <v>23585</v>
      </c>
      <c r="BR74" s="35"/>
      <c r="BS74" s="35"/>
      <c r="BT74" s="35"/>
      <c r="BU74" s="35">
        <v>22170</v>
      </c>
      <c r="BV74" s="35">
        <v>750</v>
      </c>
      <c r="BW74" s="35">
        <v>665</v>
      </c>
      <c r="BX74" s="35"/>
      <c r="BY74" s="35"/>
      <c r="BZ74" s="35"/>
      <c r="CA74" s="35"/>
      <c r="CB74" s="35"/>
      <c r="CC74" s="35"/>
      <c r="CD74" s="35">
        <f t="shared" si="8"/>
        <v>23585</v>
      </c>
      <c r="CE74" s="35">
        <f t="shared" si="9"/>
        <v>70755</v>
      </c>
      <c r="CF74" s="35"/>
      <c r="CG74" s="35"/>
      <c r="CH74" s="35"/>
      <c r="CI74" s="35">
        <f t="shared" si="314"/>
        <v>29940</v>
      </c>
      <c r="CJ74" s="35">
        <v>750</v>
      </c>
      <c r="CK74" s="35">
        <f t="shared" si="315"/>
        <v>896</v>
      </c>
      <c r="CL74" s="35"/>
      <c r="CM74" s="35"/>
      <c r="CN74" s="35"/>
      <c r="CO74" s="35"/>
      <c r="CP74" s="35"/>
      <c r="CQ74" s="35"/>
      <c r="CR74" s="35">
        <f t="shared" si="10"/>
        <v>31586</v>
      </c>
      <c r="CS74" s="35"/>
      <c r="CT74" s="35"/>
      <c r="CU74" s="35"/>
      <c r="CV74" s="35">
        <f t="shared" si="316"/>
        <v>30480</v>
      </c>
      <c r="CW74" s="35">
        <v>750</v>
      </c>
      <c r="CX74" s="35">
        <f t="shared" si="317"/>
        <v>914</v>
      </c>
      <c r="CY74" s="35"/>
      <c r="CZ74" s="35"/>
      <c r="DA74" s="35"/>
      <c r="DB74" s="35"/>
      <c r="DC74" s="35"/>
      <c r="DD74" s="35"/>
      <c r="DE74" s="35">
        <f t="shared" si="3"/>
        <v>32144</v>
      </c>
      <c r="DF74" s="35"/>
      <c r="DG74" s="35"/>
      <c r="DH74" s="35"/>
      <c r="DI74" s="35">
        <v>23280</v>
      </c>
      <c r="DJ74" s="35">
        <v>750</v>
      </c>
      <c r="DK74" s="35">
        <v>698</v>
      </c>
      <c r="DL74" s="35"/>
      <c r="DM74" s="35"/>
      <c r="DN74" s="35"/>
      <c r="DO74" s="35"/>
      <c r="DP74" s="35"/>
      <c r="DQ74" s="35"/>
      <c r="DR74" s="35">
        <f t="shared" si="11"/>
        <v>24728</v>
      </c>
      <c r="DS74" s="35">
        <f t="shared" si="12"/>
        <v>88458</v>
      </c>
      <c r="DT74" s="35"/>
      <c r="DU74" s="35"/>
      <c r="DV74" s="35"/>
      <c r="DW74" s="35">
        <v>24480</v>
      </c>
      <c r="DX74" s="35">
        <v>750</v>
      </c>
      <c r="DY74" s="35">
        <v>734</v>
      </c>
      <c r="DZ74" s="35"/>
      <c r="EA74" s="35"/>
      <c r="EB74" s="35"/>
      <c r="EC74" s="35"/>
      <c r="ED74" s="35"/>
      <c r="EE74" s="35"/>
      <c r="EF74" s="35">
        <f t="shared" si="13"/>
        <v>25964</v>
      </c>
      <c r="EG74" s="35"/>
      <c r="EH74" s="35"/>
      <c r="EI74" s="35"/>
      <c r="EJ74" s="35">
        <v>24480</v>
      </c>
      <c r="EK74" s="35">
        <v>750</v>
      </c>
      <c r="EL74" s="35">
        <v>734</v>
      </c>
      <c r="EM74" s="35"/>
      <c r="EN74" s="35"/>
      <c r="EO74" s="35"/>
      <c r="EP74" s="35"/>
      <c r="EQ74" s="35"/>
      <c r="ER74" s="35"/>
      <c r="ES74" s="35">
        <f t="shared" si="4"/>
        <v>25964</v>
      </c>
      <c r="ET74" s="35"/>
      <c r="EU74" s="35"/>
      <c r="EV74" s="35"/>
      <c r="EW74" s="35">
        <v>24480</v>
      </c>
      <c r="EX74" s="35">
        <v>750</v>
      </c>
      <c r="EY74" s="35">
        <v>734</v>
      </c>
      <c r="EZ74" s="35"/>
      <c r="FA74" s="35"/>
      <c r="FB74" s="35"/>
      <c r="FC74" s="35"/>
      <c r="FD74" s="35"/>
      <c r="FE74" s="35"/>
      <c r="FF74" s="35">
        <f t="shared" si="14"/>
        <v>25964</v>
      </c>
      <c r="FG74" s="35">
        <f t="shared" si="15"/>
        <v>77892</v>
      </c>
      <c r="FH74" s="35">
        <f t="shared" si="16"/>
        <v>307860</v>
      </c>
    </row>
    <row r="75" spans="1:164" x14ac:dyDescent="0.35">
      <c r="A75" s="34"/>
      <c r="B75" s="40"/>
      <c r="C75" s="41" t="s">
        <v>175</v>
      </c>
      <c r="D75" s="35"/>
      <c r="E75" s="35"/>
      <c r="F75" s="35"/>
      <c r="G75" s="35">
        <v>22170</v>
      </c>
      <c r="H75" s="35">
        <v>750</v>
      </c>
      <c r="I75" s="35">
        <v>665</v>
      </c>
      <c r="J75" s="35"/>
      <c r="K75" s="35"/>
      <c r="L75" s="35"/>
      <c r="M75" s="35"/>
      <c r="N75" s="35"/>
      <c r="O75" s="35"/>
      <c r="P75" s="35">
        <f t="shared" si="5"/>
        <v>23585</v>
      </c>
      <c r="Q75" s="35"/>
      <c r="R75" s="35"/>
      <c r="S75" s="35"/>
      <c r="T75" s="35">
        <v>22170</v>
      </c>
      <c r="U75" s="35">
        <v>750</v>
      </c>
      <c r="V75" s="35">
        <v>665</v>
      </c>
      <c r="W75" s="35"/>
      <c r="X75" s="35"/>
      <c r="Y75" s="35"/>
      <c r="Z75" s="35"/>
      <c r="AA75" s="35"/>
      <c r="AB75" s="35"/>
      <c r="AC75" s="35">
        <f t="shared" si="168"/>
        <v>23585</v>
      </c>
      <c r="AD75" s="35"/>
      <c r="AE75" s="35"/>
      <c r="AF75" s="35"/>
      <c r="AG75" s="35">
        <v>22170</v>
      </c>
      <c r="AH75" s="35">
        <v>750</v>
      </c>
      <c r="AI75" s="35">
        <v>665</v>
      </c>
      <c r="AJ75" s="35"/>
      <c r="AK75" s="35"/>
      <c r="AL75" s="35"/>
      <c r="AM75" s="35"/>
      <c r="AN75" s="35"/>
      <c r="AO75" s="35"/>
      <c r="AP75" s="35">
        <f t="shared" si="1"/>
        <v>23585</v>
      </c>
      <c r="AQ75" s="35">
        <f t="shared" si="169"/>
        <v>70755</v>
      </c>
      <c r="AR75" s="35"/>
      <c r="AS75" s="35"/>
      <c r="AT75" s="35"/>
      <c r="AU75" s="35">
        <v>22170</v>
      </c>
      <c r="AV75" s="35">
        <v>750</v>
      </c>
      <c r="AW75" s="35">
        <v>665</v>
      </c>
      <c r="AX75" s="35"/>
      <c r="AY75" s="35"/>
      <c r="AZ75" s="35"/>
      <c r="BA75" s="35"/>
      <c r="BB75" s="35"/>
      <c r="BC75" s="35"/>
      <c r="BD75" s="35">
        <f t="shared" si="6"/>
        <v>23585</v>
      </c>
      <c r="BE75" s="35"/>
      <c r="BF75" s="35"/>
      <c r="BG75" s="35"/>
      <c r="BH75" s="35">
        <v>22170</v>
      </c>
      <c r="BI75" s="35">
        <v>750</v>
      </c>
      <c r="BJ75" s="35">
        <v>665</v>
      </c>
      <c r="BK75" s="35"/>
      <c r="BL75" s="35"/>
      <c r="BM75" s="35"/>
      <c r="BN75" s="35"/>
      <c r="BO75" s="35"/>
      <c r="BP75" s="35"/>
      <c r="BQ75" s="35">
        <f t="shared" si="7"/>
        <v>23585</v>
      </c>
      <c r="BR75" s="35"/>
      <c r="BS75" s="35"/>
      <c r="BT75" s="35"/>
      <c r="BU75" s="35">
        <v>22170</v>
      </c>
      <c r="BV75" s="35">
        <v>750</v>
      </c>
      <c r="BW75" s="35">
        <v>665</v>
      </c>
      <c r="BX75" s="35"/>
      <c r="BY75" s="35"/>
      <c r="BZ75" s="35"/>
      <c r="CA75" s="35"/>
      <c r="CB75" s="35"/>
      <c r="CC75" s="35"/>
      <c r="CD75" s="35">
        <f t="shared" si="8"/>
        <v>23585</v>
      </c>
      <c r="CE75" s="35">
        <f t="shared" si="9"/>
        <v>70755</v>
      </c>
      <c r="CF75" s="35"/>
      <c r="CG75" s="35"/>
      <c r="CH75" s="35"/>
      <c r="CI75" s="35">
        <f t="shared" si="314"/>
        <v>29940</v>
      </c>
      <c r="CJ75" s="35">
        <v>750</v>
      </c>
      <c r="CK75" s="35">
        <f t="shared" si="315"/>
        <v>896</v>
      </c>
      <c r="CL75" s="35"/>
      <c r="CM75" s="35"/>
      <c r="CN75" s="35"/>
      <c r="CO75" s="35"/>
      <c r="CP75" s="35"/>
      <c r="CQ75" s="35"/>
      <c r="CR75" s="35">
        <f t="shared" si="10"/>
        <v>31586</v>
      </c>
      <c r="CS75" s="35"/>
      <c r="CT75" s="35"/>
      <c r="CU75" s="35"/>
      <c r="CV75" s="35">
        <f t="shared" si="316"/>
        <v>30480</v>
      </c>
      <c r="CW75" s="35">
        <v>750</v>
      </c>
      <c r="CX75" s="35">
        <f t="shared" si="317"/>
        <v>914</v>
      </c>
      <c r="CY75" s="35"/>
      <c r="CZ75" s="35"/>
      <c r="DA75" s="35"/>
      <c r="DB75" s="35"/>
      <c r="DC75" s="35"/>
      <c r="DD75" s="35"/>
      <c r="DE75" s="35">
        <f t="shared" si="3"/>
        <v>32144</v>
      </c>
      <c r="DF75" s="35"/>
      <c r="DG75" s="35"/>
      <c r="DH75" s="35"/>
      <c r="DI75" s="35">
        <v>23280</v>
      </c>
      <c r="DJ75" s="35">
        <v>750</v>
      </c>
      <c r="DK75" s="35">
        <v>698</v>
      </c>
      <c r="DL75" s="35"/>
      <c r="DM75" s="35"/>
      <c r="DN75" s="35"/>
      <c r="DO75" s="35"/>
      <c r="DP75" s="35"/>
      <c r="DQ75" s="35"/>
      <c r="DR75" s="35">
        <f t="shared" si="11"/>
        <v>24728</v>
      </c>
      <c r="DS75" s="35">
        <f t="shared" si="12"/>
        <v>88458</v>
      </c>
      <c r="DT75" s="35"/>
      <c r="DU75" s="35"/>
      <c r="DV75" s="35"/>
      <c r="DW75" s="35">
        <v>24480</v>
      </c>
      <c r="DX75" s="35">
        <v>750</v>
      </c>
      <c r="DY75" s="35">
        <v>734</v>
      </c>
      <c r="DZ75" s="35"/>
      <c r="EA75" s="35"/>
      <c r="EB75" s="35"/>
      <c r="EC75" s="35"/>
      <c r="ED75" s="35"/>
      <c r="EE75" s="35"/>
      <c r="EF75" s="35">
        <f t="shared" si="13"/>
        <v>25964</v>
      </c>
      <c r="EG75" s="35"/>
      <c r="EH75" s="35"/>
      <c r="EI75" s="35"/>
      <c r="EJ75" s="35">
        <v>24480</v>
      </c>
      <c r="EK75" s="35">
        <v>750</v>
      </c>
      <c r="EL75" s="35">
        <v>734</v>
      </c>
      <c r="EM75" s="35"/>
      <c r="EN75" s="35"/>
      <c r="EO75" s="35"/>
      <c r="EP75" s="35"/>
      <c r="EQ75" s="35"/>
      <c r="ER75" s="35"/>
      <c r="ES75" s="35">
        <f t="shared" si="4"/>
        <v>25964</v>
      </c>
      <c r="ET75" s="35"/>
      <c r="EU75" s="35"/>
      <c r="EV75" s="35"/>
      <c r="EW75" s="35">
        <v>24480</v>
      </c>
      <c r="EX75" s="35">
        <v>750</v>
      </c>
      <c r="EY75" s="35">
        <v>734</v>
      </c>
      <c r="EZ75" s="35"/>
      <c r="FA75" s="35"/>
      <c r="FB75" s="35"/>
      <c r="FC75" s="35"/>
      <c r="FD75" s="35"/>
      <c r="FE75" s="35"/>
      <c r="FF75" s="35">
        <f t="shared" si="14"/>
        <v>25964</v>
      </c>
      <c r="FG75" s="35">
        <f t="shared" si="15"/>
        <v>77892</v>
      </c>
      <c r="FH75" s="35">
        <f t="shared" si="16"/>
        <v>307860</v>
      </c>
    </row>
    <row r="76" spans="1:164" x14ac:dyDescent="0.35">
      <c r="A76" s="34"/>
      <c r="B76" s="40"/>
      <c r="C76" s="41" t="s">
        <v>176</v>
      </c>
      <c r="D76" s="35"/>
      <c r="E76" s="35"/>
      <c r="F76" s="35"/>
      <c r="G76" s="35">
        <v>22170</v>
      </c>
      <c r="H76" s="35">
        <v>750</v>
      </c>
      <c r="I76" s="35">
        <v>665</v>
      </c>
      <c r="J76" s="35"/>
      <c r="K76" s="35"/>
      <c r="L76" s="35"/>
      <c r="M76" s="35"/>
      <c r="N76" s="35"/>
      <c r="O76" s="35"/>
      <c r="P76" s="35">
        <f t="shared" si="5"/>
        <v>23585</v>
      </c>
      <c r="Q76" s="35"/>
      <c r="R76" s="35"/>
      <c r="S76" s="35"/>
      <c r="T76" s="35">
        <v>22170</v>
      </c>
      <c r="U76" s="35">
        <v>750</v>
      </c>
      <c r="V76" s="35">
        <v>665</v>
      </c>
      <c r="W76" s="35"/>
      <c r="X76" s="35"/>
      <c r="Y76" s="35"/>
      <c r="Z76" s="35"/>
      <c r="AA76" s="35"/>
      <c r="AB76" s="35"/>
      <c r="AC76" s="35">
        <f t="shared" ref="AC76:AC109" si="318">SUM(Q76:AB76)</f>
        <v>23585</v>
      </c>
      <c r="AD76" s="35"/>
      <c r="AE76" s="35"/>
      <c r="AF76" s="35"/>
      <c r="AG76" s="35">
        <v>22170</v>
      </c>
      <c r="AH76" s="35">
        <v>750</v>
      </c>
      <c r="AI76" s="35">
        <v>665</v>
      </c>
      <c r="AJ76" s="35"/>
      <c r="AK76" s="35"/>
      <c r="AL76" s="35"/>
      <c r="AM76" s="35"/>
      <c r="AN76" s="35"/>
      <c r="AO76" s="35"/>
      <c r="AP76" s="35">
        <f t="shared" ref="AP76:AP109" si="319">SUM(AD76:AO76)</f>
        <v>23585</v>
      </c>
      <c r="AQ76" s="35">
        <f t="shared" ref="AQ76:AQ109" si="320">+P76+AC76+AP76</f>
        <v>70755</v>
      </c>
      <c r="AR76" s="35"/>
      <c r="AS76" s="35"/>
      <c r="AT76" s="35"/>
      <c r="AU76" s="35">
        <v>22170</v>
      </c>
      <c r="AV76" s="35">
        <v>750</v>
      </c>
      <c r="AW76" s="35">
        <v>665</v>
      </c>
      <c r="AX76" s="35"/>
      <c r="AY76" s="35"/>
      <c r="AZ76" s="35"/>
      <c r="BA76" s="35"/>
      <c r="BB76" s="35"/>
      <c r="BC76" s="35"/>
      <c r="BD76" s="35">
        <f t="shared" si="6"/>
        <v>23585</v>
      </c>
      <c r="BE76" s="35"/>
      <c r="BF76" s="35"/>
      <c r="BG76" s="35"/>
      <c r="BH76" s="35">
        <v>22170</v>
      </c>
      <c r="BI76" s="35">
        <v>750</v>
      </c>
      <c r="BJ76" s="35">
        <v>665</v>
      </c>
      <c r="BK76" s="35"/>
      <c r="BL76" s="35"/>
      <c r="BM76" s="35"/>
      <c r="BN76" s="35"/>
      <c r="BO76" s="35"/>
      <c r="BP76" s="35"/>
      <c r="BQ76" s="35">
        <f t="shared" ref="BQ76:BQ109" si="321">SUM(BE76:BP76)</f>
        <v>23585</v>
      </c>
      <c r="BR76" s="35"/>
      <c r="BS76" s="35"/>
      <c r="BT76" s="35"/>
      <c r="BU76" s="35">
        <v>22170</v>
      </c>
      <c r="BV76" s="35">
        <v>750</v>
      </c>
      <c r="BW76" s="35">
        <v>665</v>
      </c>
      <c r="BX76" s="35"/>
      <c r="BY76" s="35"/>
      <c r="BZ76" s="35"/>
      <c r="CA76" s="35"/>
      <c r="CB76" s="35"/>
      <c r="CC76" s="35"/>
      <c r="CD76" s="35">
        <f t="shared" ref="CD76:CD109" si="322">SUM(BR76:CC76)</f>
        <v>23585</v>
      </c>
      <c r="CE76" s="35">
        <f t="shared" si="9"/>
        <v>70755</v>
      </c>
      <c r="CF76" s="35"/>
      <c r="CG76" s="35"/>
      <c r="CH76" s="35"/>
      <c r="CI76" s="35">
        <f t="shared" si="314"/>
        <v>29940</v>
      </c>
      <c r="CJ76" s="35">
        <v>750</v>
      </c>
      <c r="CK76" s="35">
        <f t="shared" si="315"/>
        <v>896</v>
      </c>
      <c r="CL76" s="35"/>
      <c r="CM76" s="35"/>
      <c r="CN76" s="35"/>
      <c r="CO76" s="35"/>
      <c r="CP76" s="35"/>
      <c r="CQ76" s="35"/>
      <c r="CR76" s="35">
        <f t="shared" si="10"/>
        <v>31586</v>
      </c>
      <c r="CS76" s="35"/>
      <c r="CT76" s="35"/>
      <c r="CU76" s="35"/>
      <c r="CV76" s="35">
        <f t="shared" si="316"/>
        <v>30480</v>
      </c>
      <c r="CW76" s="35">
        <v>750</v>
      </c>
      <c r="CX76" s="35">
        <f t="shared" si="317"/>
        <v>914</v>
      </c>
      <c r="CY76" s="35"/>
      <c r="CZ76" s="35"/>
      <c r="DA76" s="35"/>
      <c r="DB76" s="35"/>
      <c r="DC76" s="35"/>
      <c r="DD76" s="35"/>
      <c r="DE76" s="35">
        <f t="shared" ref="DE76:DE109" si="323">SUM(CS76:DD76)</f>
        <v>32144</v>
      </c>
      <c r="DF76" s="35"/>
      <c r="DG76" s="35"/>
      <c r="DH76" s="35"/>
      <c r="DI76" s="35">
        <v>23280</v>
      </c>
      <c r="DJ76" s="35">
        <v>750</v>
      </c>
      <c r="DK76" s="35">
        <v>698</v>
      </c>
      <c r="DL76" s="35"/>
      <c r="DM76" s="35"/>
      <c r="DN76" s="35"/>
      <c r="DO76" s="35"/>
      <c r="DP76" s="35"/>
      <c r="DQ76" s="35"/>
      <c r="DR76" s="35">
        <f t="shared" si="11"/>
        <v>24728</v>
      </c>
      <c r="DS76" s="35">
        <f t="shared" si="12"/>
        <v>88458</v>
      </c>
      <c r="DT76" s="35"/>
      <c r="DU76" s="35"/>
      <c r="DV76" s="35"/>
      <c r="DW76" s="35">
        <v>24480</v>
      </c>
      <c r="DX76" s="35">
        <v>750</v>
      </c>
      <c r="DY76" s="35">
        <v>734</v>
      </c>
      <c r="DZ76" s="35"/>
      <c r="EA76" s="35"/>
      <c r="EB76" s="35"/>
      <c r="EC76" s="35"/>
      <c r="ED76" s="35"/>
      <c r="EE76" s="35"/>
      <c r="EF76" s="35">
        <f t="shared" si="13"/>
        <v>25964</v>
      </c>
      <c r="EG76" s="35"/>
      <c r="EH76" s="35"/>
      <c r="EI76" s="35"/>
      <c r="EJ76" s="35">
        <v>24480</v>
      </c>
      <c r="EK76" s="35">
        <v>750</v>
      </c>
      <c r="EL76" s="35">
        <v>734</v>
      </c>
      <c r="EM76" s="35"/>
      <c r="EN76" s="35"/>
      <c r="EO76" s="35"/>
      <c r="EP76" s="35"/>
      <c r="EQ76" s="35"/>
      <c r="ER76" s="35"/>
      <c r="ES76" s="35">
        <f t="shared" ref="ES76:ES109" si="324">SUM(EG76:ER76)</f>
        <v>25964</v>
      </c>
      <c r="ET76" s="35"/>
      <c r="EU76" s="35"/>
      <c r="EV76" s="35"/>
      <c r="EW76" s="35">
        <v>24480</v>
      </c>
      <c r="EX76" s="35">
        <v>750</v>
      </c>
      <c r="EY76" s="35">
        <v>734</v>
      </c>
      <c r="EZ76" s="35"/>
      <c r="FA76" s="35"/>
      <c r="FB76" s="35"/>
      <c r="FC76" s="35"/>
      <c r="FD76" s="35"/>
      <c r="FE76" s="35"/>
      <c r="FF76" s="35">
        <f t="shared" si="14"/>
        <v>25964</v>
      </c>
      <c r="FG76" s="35">
        <f t="shared" si="15"/>
        <v>77892</v>
      </c>
      <c r="FH76" s="35">
        <f t="shared" si="16"/>
        <v>307860</v>
      </c>
    </row>
    <row r="77" spans="1:164" x14ac:dyDescent="0.35">
      <c r="A77" s="34"/>
      <c r="B77" s="40"/>
      <c r="C77" s="41" t="s">
        <v>230</v>
      </c>
      <c r="D77" s="35"/>
      <c r="E77" s="35"/>
      <c r="F77" s="35"/>
      <c r="G77" s="35">
        <v>22170</v>
      </c>
      <c r="H77" s="35">
        <v>750</v>
      </c>
      <c r="I77" s="35">
        <v>665</v>
      </c>
      <c r="J77" s="35"/>
      <c r="K77" s="35"/>
      <c r="L77" s="35"/>
      <c r="M77" s="35"/>
      <c r="N77" s="35"/>
      <c r="O77" s="35"/>
      <c r="P77" s="35">
        <f t="shared" ref="P77:P110" si="325">SUM(D77:O77)</f>
        <v>23585</v>
      </c>
      <c r="Q77" s="35"/>
      <c r="R77" s="35"/>
      <c r="S77" s="35"/>
      <c r="T77" s="35">
        <v>22170</v>
      </c>
      <c r="U77" s="35">
        <v>750</v>
      </c>
      <c r="V77" s="35">
        <v>665</v>
      </c>
      <c r="W77" s="35"/>
      <c r="X77" s="35"/>
      <c r="Y77" s="35"/>
      <c r="Z77" s="35"/>
      <c r="AA77" s="35"/>
      <c r="AB77" s="35"/>
      <c r="AC77" s="35">
        <f t="shared" si="318"/>
        <v>23585</v>
      </c>
      <c r="AD77" s="35"/>
      <c r="AE77" s="35"/>
      <c r="AF77" s="35"/>
      <c r="AG77" s="35">
        <v>22170</v>
      </c>
      <c r="AH77" s="35">
        <v>750</v>
      </c>
      <c r="AI77" s="35">
        <v>665</v>
      </c>
      <c r="AJ77" s="35"/>
      <c r="AK77" s="35"/>
      <c r="AL77" s="35"/>
      <c r="AM77" s="35"/>
      <c r="AN77" s="35"/>
      <c r="AO77" s="35"/>
      <c r="AP77" s="35">
        <f t="shared" si="319"/>
        <v>23585</v>
      </c>
      <c r="AQ77" s="35">
        <f t="shared" si="320"/>
        <v>70755</v>
      </c>
      <c r="AR77" s="35"/>
      <c r="AS77" s="35"/>
      <c r="AT77" s="35"/>
      <c r="AU77" s="35">
        <v>22170</v>
      </c>
      <c r="AV77" s="35">
        <v>750</v>
      </c>
      <c r="AW77" s="35">
        <v>665</v>
      </c>
      <c r="AX77" s="35"/>
      <c r="AY77" s="35"/>
      <c r="AZ77" s="35"/>
      <c r="BA77" s="35"/>
      <c r="BB77" s="35"/>
      <c r="BC77" s="35"/>
      <c r="BD77" s="35">
        <f t="shared" ref="BD77:BD110" si="326">SUM(AR77:BC77)</f>
        <v>23585</v>
      </c>
      <c r="BE77" s="35"/>
      <c r="BF77" s="35"/>
      <c r="BG77" s="35"/>
      <c r="BH77" s="35">
        <v>22170</v>
      </c>
      <c r="BI77" s="35">
        <v>750</v>
      </c>
      <c r="BJ77" s="35">
        <v>665</v>
      </c>
      <c r="BK77" s="35"/>
      <c r="BL77" s="35"/>
      <c r="BM77" s="35"/>
      <c r="BN77" s="35"/>
      <c r="BO77" s="35"/>
      <c r="BP77" s="35"/>
      <c r="BQ77" s="35">
        <f t="shared" si="321"/>
        <v>23585</v>
      </c>
      <c r="BR77" s="35"/>
      <c r="BS77" s="35"/>
      <c r="BT77" s="35"/>
      <c r="BU77" s="35">
        <v>22170</v>
      </c>
      <c r="BV77" s="35">
        <v>750</v>
      </c>
      <c r="BW77" s="35">
        <v>665</v>
      </c>
      <c r="BX77" s="35"/>
      <c r="BY77" s="35"/>
      <c r="BZ77" s="35"/>
      <c r="CA77" s="35"/>
      <c r="CB77" s="35"/>
      <c r="CC77" s="35"/>
      <c r="CD77" s="35">
        <f t="shared" si="322"/>
        <v>23585</v>
      </c>
      <c r="CE77" s="35">
        <f t="shared" ref="CE77:CE110" si="327">+BD77+BQ77+CD77</f>
        <v>70755</v>
      </c>
      <c r="CF77" s="35"/>
      <c r="CG77" s="35"/>
      <c r="CH77" s="35"/>
      <c r="CI77" s="35">
        <f t="shared" si="314"/>
        <v>29940</v>
      </c>
      <c r="CJ77" s="35">
        <v>750</v>
      </c>
      <c r="CK77" s="35">
        <f t="shared" si="315"/>
        <v>896</v>
      </c>
      <c r="CL77" s="35"/>
      <c r="CM77" s="35"/>
      <c r="CN77" s="35"/>
      <c r="CO77" s="35"/>
      <c r="CP77" s="35"/>
      <c r="CQ77" s="35"/>
      <c r="CR77" s="35">
        <f t="shared" ref="CR77:CR110" si="328">SUM(CF77:CQ77)</f>
        <v>31586</v>
      </c>
      <c r="CS77" s="35"/>
      <c r="CT77" s="35"/>
      <c r="CU77" s="35"/>
      <c r="CV77" s="35">
        <f t="shared" si="316"/>
        <v>30480</v>
      </c>
      <c r="CW77" s="35">
        <v>750</v>
      </c>
      <c r="CX77" s="35">
        <f t="shared" si="317"/>
        <v>914</v>
      </c>
      <c r="CY77" s="35"/>
      <c r="CZ77" s="35"/>
      <c r="DA77" s="35"/>
      <c r="DB77" s="35"/>
      <c r="DC77" s="35"/>
      <c r="DD77" s="35"/>
      <c r="DE77" s="35">
        <f t="shared" si="323"/>
        <v>32144</v>
      </c>
      <c r="DF77" s="35"/>
      <c r="DG77" s="35"/>
      <c r="DH77" s="35"/>
      <c r="DI77" s="35">
        <v>23280</v>
      </c>
      <c r="DJ77" s="35">
        <v>750</v>
      </c>
      <c r="DK77" s="35">
        <v>698</v>
      </c>
      <c r="DL77" s="35"/>
      <c r="DM77" s="35"/>
      <c r="DN77" s="35"/>
      <c r="DO77" s="35"/>
      <c r="DP77" s="35"/>
      <c r="DQ77" s="35"/>
      <c r="DR77" s="35">
        <f t="shared" ref="DR77:DR110" si="329">SUM(DF77:DQ77)</f>
        <v>24728</v>
      </c>
      <c r="DS77" s="35">
        <f t="shared" ref="DS77:DS110" si="330">+CR77+DE77+DR77</f>
        <v>88458</v>
      </c>
      <c r="DT77" s="35"/>
      <c r="DU77" s="35"/>
      <c r="DV77" s="35"/>
      <c r="DW77" s="35">
        <v>24480</v>
      </c>
      <c r="DX77" s="35">
        <v>750</v>
      </c>
      <c r="DY77" s="35">
        <v>734</v>
      </c>
      <c r="DZ77" s="35"/>
      <c r="EA77" s="35"/>
      <c r="EB77" s="35"/>
      <c r="EC77" s="35"/>
      <c r="ED77" s="35"/>
      <c r="EE77" s="35"/>
      <c r="EF77" s="35">
        <f t="shared" ref="EF77:EF110" si="331">SUM(DT77:EE77)</f>
        <v>25964</v>
      </c>
      <c r="EG77" s="35"/>
      <c r="EH77" s="35"/>
      <c r="EI77" s="35"/>
      <c r="EJ77" s="35">
        <v>24480</v>
      </c>
      <c r="EK77" s="35">
        <v>750</v>
      </c>
      <c r="EL77" s="35">
        <v>734</v>
      </c>
      <c r="EM77" s="35"/>
      <c r="EN77" s="35"/>
      <c r="EO77" s="35"/>
      <c r="EP77" s="35"/>
      <c r="EQ77" s="35"/>
      <c r="ER77" s="35"/>
      <c r="ES77" s="35">
        <f t="shared" si="324"/>
        <v>25964</v>
      </c>
      <c r="ET77" s="35"/>
      <c r="EU77" s="35"/>
      <c r="EV77" s="35"/>
      <c r="EW77" s="35">
        <v>24480</v>
      </c>
      <c r="EX77" s="35">
        <v>750</v>
      </c>
      <c r="EY77" s="35">
        <v>734</v>
      </c>
      <c r="EZ77" s="35"/>
      <c r="FA77" s="35"/>
      <c r="FB77" s="35"/>
      <c r="FC77" s="35"/>
      <c r="FD77" s="35"/>
      <c r="FE77" s="35"/>
      <c r="FF77" s="35">
        <f t="shared" ref="FF77:FF110" si="332">SUM(ET77:FE77)</f>
        <v>25964</v>
      </c>
      <c r="FG77" s="35">
        <f t="shared" ref="FG77:FG110" si="333">+EF77+ES77+FF77</f>
        <v>77892</v>
      </c>
      <c r="FH77" s="35">
        <f t="shared" ref="FH77:FH110" si="334">+AQ77+CE77+DS77+FG77</f>
        <v>307860</v>
      </c>
    </row>
    <row r="78" spans="1:164" x14ac:dyDescent="0.35">
      <c r="A78" s="34"/>
      <c r="B78" s="40"/>
      <c r="C78" s="41" t="s">
        <v>177</v>
      </c>
      <c r="D78" s="35"/>
      <c r="E78" s="35"/>
      <c r="F78" s="35"/>
      <c r="G78" s="35">
        <v>22150</v>
      </c>
      <c r="H78" s="35">
        <v>750</v>
      </c>
      <c r="I78" s="35">
        <v>665</v>
      </c>
      <c r="J78" s="35"/>
      <c r="K78" s="35"/>
      <c r="L78" s="35"/>
      <c r="M78" s="35"/>
      <c r="N78" s="35"/>
      <c r="O78" s="35"/>
      <c r="P78" s="35">
        <f t="shared" si="325"/>
        <v>23565</v>
      </c>
      <c r="Q78" s="35"/>
      <c r="R78" s="35"/>
      <c r="S78" s="35"/>
      <c r="T78" s="35">
        <v>22150</v>
      </c>
      <c r="U78" s="35">
        <v>750</v>
      </c>
      <c r="V78" s="35">
        <v>665</v>
      </c>
      <c r="W78" s="35"/>
      <c r="X78" s="35"/>
      <c r="Y78" s="35"/>
      <c r="Z78" s="35"/>
      <c r="AA78" s="35"/>
      <c r="AB78" s="35"/>
      <c r="AC78" s="35">
        <f t="shared" si="318"/>
        <v>23565</v>
      </c>
      <c r="AD78" s="35"/>
      <c r="AE78" s="35"/>
      <c r="AF78" s="35"/>
      <c r="AG78" s="35">
        <v>22150</v>
      </c>
      <c r="AH78" s="35">
        <v>750</v>
      </c>
      <c r="AI78" s="35">
        <v>665</v>
      </c>
      <c r="AJ78" s="35"/>
      <c r="AK78" s="35"/>
      <c r="AL78" s="35"/>
      <c r="AM78" s="35"/>
      <c r="AN78" s="35"/>
      <c r="AO78" s="35"/>
      <c r="AP78" s="35">
        <f t="shared" si="319"/>
        <v>23565</v>
      </c>
      <c r="AQ78" s="35">
        <f t="shared" si="320"/>
        <v>70695</v>
      </c>
      <c r="AR78" s="35"/>
      <c r="AS78" s="35"/>
      <c r="AT78" s="35"/>
      <c r="AU78" s="35">
        <v>22150</v>
      </c>
      <c r="AV78" s="35">
        <v>750</v>
      </c>
      <c r="AW78" s="35">
        <v>665</v>
      </c>
      <c r="AX78" s="35"/>
      <c r="AY78" s="35"/>
      <c r="AZ78" s="35"/>
      <c r="BA78" s="35"/>
      <c r="BB78" s="35"/>
      <c r="BC78" s="35"/>
      <c r="BD78" s="35">
        <f t="shared" si="326"/>
        <v>23565</v>
      </c>
      <c r="BE78" s="35"/>
      <c r="BF78" s="35"/>
      <c r="BG78" s="35"/>
      <c r="BH78" s="35">
        <v>22150</v>
      </c>
      <c r="BI78" s="35">
        <v>750</v>
      </c>
      <c r="BJ78" s="35">
        <v>665</v>
      </c>
      <c r="BK78" s="35"/>
      <c r="BL78" s="35"/>
      <c r="BM78" s="35"/>
      <c r="BN78" s="35"/>
      <c r="BO78" s="35"/>
      <c r="BP78" s="35"/>
      <c r="BQ78" s="35">
        <f t="shared" si="321"/>
        <v>23565</v>
      </c>
      <c r="BR78" s="35"/>
      <c r="BS78" s="35"/>
      <c r="BT78" s="35"/>
      <c r="BU78" s="35">
        <v>22150</v>
      </c>
      <c r="BV78" s="35">
        <v>750</v>
      </c>
      <c r="BW78" s="35">
        <v>665</v>
      </c>
      <c r="BX78" s="35"/>
      <c r="BY78" s="35"/>
      <c r="BZ78" s="35"/>
      <c r="CA78" s="35"/>
      <c r="CB78" s="35"/>
      <c r="CC78" s="35"/>
      <c r="CD78" s="35">
        <f t="shared" si="322"/>
        <v>23565</v>
      </c>
      <c r="CE78" s="35">
        <f t="shared" si="327"/>
        <v>70695</v>
      </c>
      <c r="CF78" s="35"/>
      <c r="CG78" s="35"/>
      <c r="CH78" s="35"/>
      <c r="CI78" s="35">
        <f>23260+(1110*6)</f>
        <v>29920</v>
      </c>
      <c r="CJ78" s="35">
        <v>750</v>
      </c>
      <c r="CK78" s="35">
        <f t="shared" si="315"/>
        <v>896</v>
      </c>
      <c r="CL78" s="35"/>
      <c r="CM78" s="35"/>
      <c r="CN78" s="35"/>
      <c r="CO78" s="35"/>
      <c r="CP78" s="35"/>
      <c r="CQ78" s="35"/>
      <c r="CR78" s="35">
        <f t="shared" si="328"/>
        <v>31566</v>
      </c>
      <c r="CS78" s="35"/>
      <c r="CT78" s="35"/>
      <c r="CU78" s="35"/>
      <c r="CV78" s="35">
        <f>23260+1200*6</f>
        <v>30460</v>
      </c>
      <c r="CW78" s="35">
        <v>750</v>
      </c>
      <c r="CX78" s="35">
        <f t="shared" si="317"/>
        <v>914</v>
      </c>
      <c r="CY78" s="35"/>
      <c r="CZ78" s="35"/>
      <c r="DA78" s="35"/>
      <c r="DB78" s="35"/>
      <c r="DC78" s="35"/>
      <c r="DD78" s="35"/>
      <c r="DE78" s="35">
        <f t="shared" si="323"/>
        <v>32124</v>
      </c>
      <c r="DF78" s="35"/>
      <c r="DG78" s="35"/>
      <c r="DH78" s="35"/>
      <c r="DI78" s="35">
        <v>23260</v>
      </c>
      <c r="DJ78" s="35">
        <v>750</v>
      </c>
      <c r="DK78" s="35">
        <v>698</v>
      </c>
      <c r="DL78" s="35"/>
      <c r="DM78" s="35"/>
      <c r="DN78" s="35"/>
      <c r="DO78" s="35"/>
      <c r="DP78" s="35"/>
      <c r="DQ78" s="35"/>
      <c r="DR78" s="35">
        <f t="shared" si="329"/>
        <v>24708</v>
      </c>
      <c r="DS78" s="35">
        <f t="shared" si="330"/>
        <v>88398</v>
      </c>
      <c r="DT78" s="35"/>
      <c r="DU78" s="35"/>
      <c r="DV78" s="35"/>
      <c r="DW78" s="35">
        <v>24460</v>
      </c>
      <c r="DX78" s="35">
        <v>750</v>
      </c>
      <c r="DY78" s="35">
        <v>734</v>
      </c>
      <c r="DZ78" s="35"/>
      <c r="EA78" s="35"/>
      <c r="EB78" s="35"/>
      <c r="EC78" s="35"/>
      <c r="ED78" s="35"/>
      <c r="EE78" s="35"/>
      <c r="EF78" s="35">
        <f t="shared" si="331"/>
        <v>25944</v>
      </c>
      <c r="EG78" s="35"/>
      <c r="EH78" s="35"/>
      <c r="EI78" s="35"/>
      <c r="EJ78" s="35">
        <v>24460</v>
      </c>
      <c r="EK78" s="35">
        <v>750</v>
      </c>
      <c r="EL78" s="35">
        <v>734</v>
      </c>
      <c r="EM78" s="35"/>
      <c r="EN78" s="35"/>
      <c r="EO78" s="35"/>
      <c r="EP78" s="35"/>
      <c r="EQ78" s="35"/>
      <c r="ER78" s="35"/>
      <c r="ES78" s="35">
        <f t="shared" si="324"/>
        <v>25944</v>
      </c>
      <c r="ET78" s="35"/>
      <c r="EU78" s="35"/>
      <c r="EV78" s="35"/>
      <c r="EW78" s="35">
        <v>24460</v>
      </c>
      <c r="EX78" s="35">
        <v>750</v>
      </c>
      <c r="EY78" s="35">
        <v>734</v>
      </c>
      <c r="EZ78" s="35"/>
      <c r="FA78" s="35"/>
      <c r="FB78" s="35"/>
      <c r="FC78" s="35"/>
      <c r="FD78" s="35"/>
      <c r="FE78" s="35"/>
      <c r="FF78" s="35">
        <f t="shared" si="332"/>
        <v>25944</v>
      </c>
      <c r="FG78" s="35">
        <f t="shared" si="333"/>
        <v>77832</v>
      </c>
      <c r="FH78" s="35">
        <f t="shared" si="334"/>
        <v>307620</v>
      </c>
    </row>
    <row r="79" spans="1:164" x14ac:dyDescent="0.35">
      <c r="A79" s="34"/>
      <c r="B79" s="40"/>
      <c r="C79" s="41" t="s">
        <v>178</v>
      </c>
      <c r="D79" s="35"/>
      <c r="E79" s="35"/>
      <c r="F79" s="35"/>
      <c r="G79" s="35">
        <v>22170</v>
      </c>
      <c r="H79" s="35">
        <v>750</v>
      </c>
      <c r="I79" s="35">
        <v>665</v>
      </c>
      <c r="J79" s="35"/>
      <c r="K79" s="35"/>
      <c r="L79" s="35"/>
      <c r="M79" s="35"/>
      <c r="N79" s="35"/>
      <c r="O79" s="35"/>
      <c r="P79" s="35">
        <f t="shared" si="325"/>
        <v>23585</v>
      </c>
      <c r="Q79" s="35"/>
      <c r="R79" s="35"/>
      <c r="S79" s="35"/>
      <c r="T79" s="35">
        <v>22170</v>
      </c>
      <c r="U79" s="35">
        <v>750</v>
      </c>
      <c r="V79" s="35">
        <v>665</v>
      </c>
      <c r="W79" s="35"/>
      <c r="X79" s="35"/>
      <c r="Y79" s="35"/>
      <c r="Z79" s="35"/>
      <c r="AA79" s="35"/>
      <c r="AB79" s="35"/>
      <c r="AC79" s="35">
        <f t="shared" si="318"/>
        <v>23585</v>
      </c>
      <c r="AD79" s="35"/>
      <c r="AE79" s="35"/>
      <c r="AF79" s="35"/>
      <c r="AG79" s="35">
        <v>22170</v>
      </c>
      <c r="AH79" s="35">
        <v>750</v>
      </c>
      <c r="AI79" s="35">
        <v>665</v>
      </c>
      <c r="AJ79" s="35"/>
      <c r="AK79" s="35"/>
      <c r="AL79" s="35"/>
      <c r="AM79" s="35"/>
      <c r="AN79" s="35"/>
      <c r="AO79" s="35"/>
      <c r="AP79" s="35">
        <f t="shared" si="319"/>
        <v>23585</v>
      </c>
      <c r="AQ79" s="35">
        <f t="shared" si="320"/>
        <v>70755</v>
      </c>
      <c r="AR79" s="35"/>
      <c r="AS79" s="35"/>
      <c r="AT79" s="35"/>
      <c r="AU79" s="35">
        <v>22170</v>
      </c>
      <c r="AV79" s="35">
        <v>750</v>
      </c>
      <c r="AW79" s="35">
        <v>665</v>
      </c>
      <c r="AX79" s="35"/>
      <c r="AY79" s="35"/>
      <c r="AZ79" s="35"/>
      <c r="BA79" s="35"/>
      <c r="BB79" s="35"/>
      <c r="BC79" s="35"/>
      <c r="BD79" s="35">
        <f t="shared" si="326"/>
        <v>23585</v>
      </c>
      <c r="BE79" s="35"/>
      <c r="BF79" s="35"/>
      <c r="BG79" s="35"/>
      <c r="BH79" s="35">
        <v>22170</v>
      </c>
      <c r="BI79" s="35">
        <v>750</v>
      </c>
      <c r="BJ79" s="35">
        <v>665</v>
      </c>
      <c r="BK79" s="35"/>
      <c r="BL79" s="35"/>
      <c r="BM79" s="35"/>
      <c r="BN79" s="35"/>
      <c r="BO79" s="35"/>
      <c r="BP79" s="35"/>
      <c r="BQ79" s="35">
        <f t="shared" si="321"/>
        <v>23585</v>
      </c>
      <c r="BR79" s="35"/>
      <c r="BS79" s="35"/>
      <c r="BT79" s="35"/>
      <c r="BU79" s="35">
        <v>22170</v>
      </c>
      <c r="BV79" s="35">
        <v>750</v>
      </c>
      <c r="BW79" s="35">
        <v>665</v>
      </c>
      <c r="BX79" s="35"/>
      <c r="BY79" s="35"/>
      <c r="BZ79" s="35"/>
      <c r="CA79" s="35"/>
      <c r="CB79" s="35"/>
      <c r="CC79" s="35"/>
      <c r="CD79" s="35">
        <f t="shared" si="322"/>
        <v>23585</v>
      </c>
      <c r="CE79" s="35">
        <f t="shared" si="327"/>
        <v>70755</v>
      </c>
      <c r="CF79" s="35"/>
      <c r="CG79" s="35"/>
      <c r="CH79" s="35"/>
      <c r="CI79" s="35">
        <f>23280+(1110*6)</f>
        <v>29940</v>
      </c>
      <c r="CJ79" s="35">
        <v>750</v>
      </c>
      <c r="CK79" s="35">
        <f t="shared" si="315"/>
        <v>896</v>
      </c>
      <c r="CL79" s="35"/>
      <c r="CM79" s="35"/>
      <c r="CN79" s="35"/>
      <c r="CO79" s="35"/>
      <c r="CP79" s="35"/>
      <c r="CQ79" s="35"/>
      <c r="CR79" s="35">
        <f t="shared" si="328"/>
        <v>31586</v>
      </c>
      <c r="CS79" s="35"/>
      <c r="CT79" s="35"/>
      <c r="CU79" s="35"/>
      <c r="CV79" s="35">
        <f>23280+1200*6</f>
        <v>30480</v>
      </c>
      <c r="CW79" s="35">
        <v>750</v>
      </c>
      <c r="CX79" s="35">
        <f t="shared" si="317"/>
        <v>914</v>
      </c>
      <c r="CY79" s="35"/>
      <c r="CZ79" s="35"/>
      <c r="DA79" s="35"/>
      <c r="DB79" s="35"/>
      <c r="DC79" s="35"/>
      <c r="DD79" s="35"/>
      <c r="DE79" s="35">
        <f t="shared" si="323"/>
        <v>32144</v>
      </c>
      <c r="DF79" s="35"/>
      <c r="DG79" s="35"/>
      <c r="DH79" s="35"/>
      <c r="DI79" s="35">
        <v>23280</v>
      </c>
      <c r="DJ79" s="35">
        <v>750</v>
      </c>
      <c r="DK79" s="35">
        <v>698</v>
      </c>
      <c r="DL79" s="35"/>
      <c r="DM79" s="35"/>
      <c r="DN79" s="35"/>
      <c r="DO79" s="35"/>
      <c r="DP79" s="35"/>
      <c r="DQ79" s="35"/>
      <c r="DR79" s="35">
        <f t="shared" si="329"/>
        <v>24728</v>
      </c>
      <c r="DS79" s="35">
        <f t="shared" si="330"/>
        <v>88458</v>
      </c>
      <c r="DT79" s="35"/>
      <c r="DU79" s="35"/>
      <c r="DV79" s="35"/>
      <c r="DW79" s="35">
        <v>24480</v>
      </c>
      <c r="DX79" s="35">
        <v>750</v>
      </c>
      <c r="DY79" s="35">
        <v>734</v>
      </c>
      <c r="DZ79" s="35"/>
      <c r="EA79" s="35"/>
      <c r="EB79" s="35"/>
      <c r="EC79" s="35"/>
      <c r="ED79" s="35"/>
      <c r="EE79" s="35"/>
      <c r="EF79" s="35">
        <f t="shared" si="331"/>
        <v>25964</v>
      </c>
      <c r="EG79" s="35"/>
      <c r="EH79" s="35"/>
      <c r="EI79" s="35"/>
      <c r="EJ79" s="35">
        <v>24480</v>
      </c>
      <c r="EK79" s="35">
        <v>750</v>
      </c>
      <c r="EL79" s="35">
        <v>734</v>
      </c>
      <c r="EM79" s="35"/>
      <c r="EN79" s="35"/>
      <c r="EO79" s="35"/>
      <c r="EP79" s="35"/>
      <c r="EQ79" s="35"/>
      <c r="ER79" s="35"/>
      <c r="ES79" s="35">
        <f t="shared" si="324"/>
        <v>25964</v>
      </c>
      <c r="ET79" s="35"/>
      <c r="EU79" s="35"/>
      <c r="EV79" s="35"/>
      <c r="EW79" s="35">
        <v>24480</v>
      </c>
      <c r="EX79" s="35">
        <v>750</v>
      </c>
      <c r="EY79" s="35">
        <v>734</v>
      </c>
      <c r="EZ79" s="35"/>
      <c r="FA79" s="35"/>
      <c r="FB79" s="35"/>
      <c r="FC79" s="35"/>
      <c r="FD79" s="35"/>
      <c r="FE79" s="35"/>
      <c r="FF79" s="35">
        <f t="shared" si="332"/>
        <v>25964</v>
      </c>
      <c r="FG79" s="35">
        <f t="shared" si="333"/>
        <v>77892</v>
      </c>
      <c r="FH79" s="35">
        <f t="shared" si="334"/>
        <v>307860</v>
      </c>
    </row>
    <row r="80" spans="1:164" x14ac:dyDescent="0.35">
      <c r="A80" s="34"/>
      <c r="B80" s="40"/>
      <c r="C80" s="41" t="s">
        <v>179</v>
      </c>
      <c r="D80" s="35"/>
      <c r="E80" s="35"/>
      <c r="F80" s="35"/>
      <c r="G80" s="35">
        <v>21690</v>
      </c>
      <c r="H80" s="35">
        <v>750</v>
      </c>
      <c r="I80" s="35">
        <v>651</v>
      </c>
      <c r="J80" s="35"/>
      <c r="K80" s="35"/>
      <c r="L80" s="35"/>
      <c r="M80" s="35"/>
      <c r="N80" s="35"/>
      <c r="O80" s="35"/>
      <c r="P80" s="35">
        <f t="shared" si="325"/>
        <v>23091</v>
      </c>
      <c r="Q80" s="35"/>
      <c r="R80" s="35"/>
      <c r="S80" s="35"/>
      <c r="T80" s="35">
        <v>21690</v>
      </c>
      <c r="U80" s="35">
        <v>750</v>
      </c>
      <c r="V80" s="35">
        <v>651</v>
      </c>
      <c r="W80" s="35"/>
      <c r="X80" s="35"/>
      <c r="Y80" s="35"/>
      <c r="Z80" s="35"/>
      <c r="AA80" s="35"/>
      <c r="AB80" s="35"/>
      <c r="AC80" s="35">
        <f t="shared" si="318"/>
        <v>23091</v>
      </c>
      <c r="AD80" s="35"/>
      <c r="AE80" s="35"/>
      <c r="AF80" s="35"/>
      <c r="AG80" s="35">
        <v>21690</v>
      </c>
      <c r="AH80" s="35">
        <v>750</v>
      </c>
      <c r="AI80" s="35">
        <v>651</v>
      </c>
      <c r="AJ80" s="35"/>
      <c r="AK80" s="35"/>
      <c r="AL80" s="35"/>
      <c r="AM80" s="35"/>
      <c r="AN80" s="35"/>
      <c r="AO80" s="35"/>
      <c r="AP80" s="35">
        <f t="shared" si="319"/>
        <v>23091</v>
      </c>
      <c r="AQ80" s="35">
        <f t="shared" si="320"/>
        <v>69273</v>
      </c>
      <c r="AR80" s="35"/>
      <c r="AS80" s="35"/>
      <c r="AT80" s="35"/>
      <c r="AU80" s="35">
        <v>21690</v>
      </c>
      <c r="AV80" s="35">
        <v>750</v>
      </c>
      <c r="AW80" s="35">
        <v>651</v>
      </c>
      <c r="AX80" s="35"/>
      <c r="AY80" s="35"/>
      <c r="AZ80" s="35"/>
      <c r="BA80" s="35"/>
      <c r="BB80" s="35"/>
      <c r="BC80" s="35"/>
      <c r="BD80" s="35">
        <f t="shared" si="326"/>
        <v>23091</v>
      </c>
      <c r="BE80" s="35"/>
      <c r="BF80" s="35"/>
      <c r="BG80" s="35"/>
      <c r="BH80" s="35">
        <v>21690</v>
      </c>
      <c r="BI80" s="35">
        <v>750</v>
      </c>
      <c r="BJ80" s="35">
        <v>651</v>
      </c>
      <c r="BK80" s="35"/>
      <c r="BL80" s="35"/>
      <c r="BM80" s="35"/>
      <c r="BN80" s="35"/>
      <c r="BO80" s="35"/>
      <c r="BP80" s="35"/>
      <c r="BQ80" s="35">
        <f t="shared" si="321"/>
        <v>23091</v>
      </c>
      <c r="BR80" s="35"/>
      <c r="BS80" s="35"/>
      <c r="BT80" s="35"/>
      <c r="BU80" s="35">
        <v>21690</v>
      </c>
      <c r="BV80" s="35">
        <v>750</v>
      </c>
      <c r="BW80" s="35">
        <v>651</v>
      </c>
      <c r="BX80" s="35"/>
      <c r="BY80" s="35"/>
      <c r="BZ80" s="35"/>
      <c r="CA80" s="35"/>
      <c r="CB80" s="35"/>
      <c r="CC80" s="35"/>
      <c r="CD80" s="35">
        <f t="shared" si="322"/>
        <v>23091</v>
      </c>
      <c r="CE80" s="35">
        <f t="shared" si="327"/>
        <v>69273</v>
      </c>
      <c r="CF80" s="35"/>
      <c r="CG80" s="35"/>
      <c r="CH80" s="35"/>
      <c r="CI80" s="35">
        <f>22780+(1090*6)</f>
        <v>29320</v>
      </c>
      <c r="CJ80" s="35">
        <v>750</v>
      </c>
      <c r="CK80" s="35">
        <f>683+(33*6)</f>
        <v>881</v>
      </c>
      <c r="CL80" s="35"/>
      <c r="CM80" s="35"/>
      <c r="CN80" s="35"/>
      <c r="CO80" s="35"/>
      <c r="CP80" s="35"/>
      <c r="CQ80" s="35"/>
      <c r="CR80" s="35">
        <f t="shared" si="328"/>
        <v>30951</v>
      </c>
      <c r="CS80" s="35"/>
      <c r="CT80" s="35"/>
      <c r="CU80" s="35"/>
      <c r="CV80" s="35">
        <f>22780+1200*6</f>
        <v>29980</v>
      </c>
      <c r="CW80" s="35">
        <v>750</v>
      </c>
      <c r="CX80" s="35">
        <f>683+36*6</f>
        <v>899</v>
      </c>
      <c r="CY80" s="35"/>
      <c r="CZ80" s="35"/>
      <c r="DA80" s="35"/>
      <c r="DB80" s="35"/>
      <c r="DC80" s="35"/>
      <c r="DD80" s="35"/>
      <c r="DE80" s="35">
        <f t="shared" si="323"/>
        <v>31629</v>
      </c>
      <c r="DF80" s="35"/>
      <c r="DG80" s="35"/>
      <c r="DH80" s="35"/>
      <c r="DI80" s="35">
        <v>22780</v>
      </c>
      <c r="DJ80" s="35">
        <v>750</v>
      </c>
      <c r="DK80" s="35">
        <v>683</v>
      </c>
      <c r="DL80" s="35"/>
      <c r="DM80" s="35"/>
      <c r="DN80" s="35"/>
      <c r="DO80" s="35"/>
      <c r="DP80" s="35"/>
      <c r="DQ80" s="35"/>
      <c r="DR80" s="35">
        <f t="shared" si="329"/>
        <v>24213</v>
      </c>
      <c r="DS80" s="35">
        <f t="shared" si="330"/>
        <v>86793</v>
      </c>
      <c r="DT80" s="35"/>
      <c r="DU80" s="35"/>
      <c r="DV80" s="35"/>
      <c r="DW80" s="35">
        <v>23980</v>
      </c>
      <c r="DX80" s="35">
        <v>750</v>
      </c>
      <c r="DY80" s="35">
        <v>719</v>
      </c>
      <c r="DZ80" s="35"/>
      <c r="EA80" s="35"/>
      <c r="EB80" s="35"/>
      <c r="EC80" s="35"/>
      <c r="ED80" s="35"/>
      <c r="EE80" s="35"/>
      <c r="EF80" s="35">
        <f t="shared" si="331"/>
        <v>25449</v>
      </c>
      <c r="EG80" s="35"/>
      <c r="EH80" s="35"/>
      <c r="EI80" s="35"/>
      <c r="EJ80" s="35">
        <v>23980</v>
      </c>
      <c r="EK80" s="35">
        <v>750</v>
      </c>
      <c r="EL80" s="35">
        <v>719</v>
      </c>
      <c r="EM80" s="35"/>
      <c r="EN80" s="35"/>
      <c r="EO80" s="35"/>
      <c r="EP80" s="35"/>
      <c r="EQ80" s="35"/>
      <c r="ER80" s="35"/>
      <c r="ES80" s="35">
        <f t="shared" si="324"/>
        <v>25449</v>
      </c>
      <c r="ET80" s="35"/>
      <c r="EU80" s="35"/>
      <c r="EV80" s="35"/>
      <c r="EW80" s="35">
        <v>23980</v>
      </c>
      <c r="EX80" s="35">
        <v>750</v>
      </c>
      <c r="EY80" s="35">
        <v>719</v>
      </c>
      <c r="EZ80" s="35"/>
      <c r="FA80" s="35"/>
      <c r="FB80" s="35"/>
      <c r="FC80" s="35"/>
      <c r="FD80" s="35"/>
      <c r="FE80" s="35"/>
      <c r="FF80" s="35">
        <f t="shared" si="332"/>
        <v>25449</v>
      </c>
      <c r="FG80" s="35">
        <f t="shared" si="333"/>
        <v>76347</v>
      </c>
      <c r="FH80" s="35">
        <f t="shared" si="334"/>
        <v>301686</v>
      </c>
    </row>
    <row r="81" spans="1:164" x14ac:dyDescent="0.35">
      <c r="A81" s="34"/>
      <c r="B81" s="40"/>
      <c r="C81" s="41" t="s">
        <v>180</v>
      </c>
      <c r="D81" s="35"/>
      <c r="E81" s="35"/>
      <c r="F81" s="35"/>
      <c r="G81" s="35">
        <v>21690</v>
      </c>
      <c r="H81" s="35">
        <v>750</v>
      </c>
      <c r="I81" s="35">
        <v>651</v>
      </c>
      <c r="J81" s="35"/>
      <c r="K81" s="35"/>
      <c r="L81" s="35"/>
      <c r="M81" s="35"/>
      <c r="N81" s="35"/>
      <c r="O81" s="35"/>
      <c r="P81" s="35">
        <f t="shared" si="325"/>
        <v>23091</v>
      </c>
      <c r="Q81" s="35"/>
      <c r="R81" s="35"/>
      <c r="S81" s="35"/>
      <c r="T81" s="35">
        <v>21690</v>
      </c>
      <c r="U81" s="35">
        <v>750</v>
      </c>
      <c r="V81" s="35">
        <v>651</v>
      </c>
      <c r="W81" s="35"/>
      <c r="X81" s="35"/>
      <c r="Y81" s="35"/>
      <c r="Z81" s="35"/>
      <c r="AA81" s="35"/>
      <c r="AB81" s="35"/>
      <c r="AC81" s="35">
        <f t="shared" si="318"/>
        <v>23091</v>
      </c>
      <c r="AD81" s="35"/>
      <c r="AE81" s="35"/>
      <c r="AF81" s="35"/>
      <c r="AG81" s="35">
        <v>21690</v>
      </c>
      <c r="AH81" s="35">
        <v>750</v>
      </c>
      <c r="AI81" s="35">
        <v>651</v>
      </c>
      <c r="AJ81" s="35"/>
      <c r="AK81" s="35"/>
      <c r="AL81" s="35"/>
      <c r="AM81" s="35"/>
      <c r="AN81" s="35"/>
      <c r="AO81" s="35"/>
      <c r="AP81" s="35">
        <f t="shared" si="319"/>
        <v>23091</v>
      </c>
      <c r="AQ81" s="35">
        <f t="shared" si="320"/>
        <v>69273</v>
      </c>
      <c r="AR81" s="35"/>
      <c r="AS81" s="35"/>
      <c r="AT81" s="35"/>
      <c r="AU81" s="35">
        <v>21690</v>
      </c>
      <c r="AV81" s="35">
        <v>750</v>
      </c>
      <c r="AW81" s="35">
        <v>651</v>
      </c>
      <c r="AX81" s="35"/>
      <c r="AY81" s="35"/>
      <c r="AZ81" s="35"/>
      <c r="BA81" s="35"/>
      <c r="BB81" s="35"/>
      <c r="BC81" s="35"/>
      <c r="BD81" s="35">
        <f t="shared" si="326"/>
        <v>23091</v>
      </c>
      <c r="BE81" s="35"/>
      <c r="BF81" s="35"/>
      <c r="BG81" s="35"/>
      <c r="BH81" s="35">
        <v>21690</v>
      </c>
      <c r="BI81" s="35">
        <v>750</v>
      </c>
      <c r="BJ81" s="35">
        <v>651</v>
      </c>
      <c r="BK81" s="35"/>
      <c r="BL81" s="35"/>
      <c r="BM81" s="35"/>
      <c r="BN81" s="35"/>
      <c r="BO81" s="35"/>
      <c r="BP81" s="35"/>
      <c r="BQ81" s="35">
        <f t="shared" si="321"/>
        <v>23091</v>
      </c>
      <c r="BR81" s="35"/>
      <c r="BS81" s="35"/>
      <c r="BT81" s="35"/>
      <c r="BU81" s="35">
        <v>21690</v>
      </c>
      <c r="BV81" s="35">
        <v>750</v>
      </c>
      <c r="BW81" s="35">
        <v>651</v>
      </c>
      <c r="BX81" s="35"/>
      <c r="BY81" s="35"/>
      <c r="BZ81" s="35"/>
      <c r="CA81" s="35"/>
      <c r="CB81" s="35"/>
      <c r="CC81" s="35"/>
      <c r="CD81" s="35">
        <f t="shared" si="322"/>
        <v>23091</v>
      </c>
      <c r="CE81" s="35">
        <f t="shared" si="327"/>
        <v>69273</v>
      </c>
      <c r="CF81" s="35"/>
      <c r="CG81" s="35"/>
      <c r="CH81" s="35"/>
      <c r="CI81" s="35">
        <f>22780+(1090*6)</f>
        <v>29320</v>
      </c>
      <c r="CJ81" s="35">
        <v>750</v>
      </c>
      <c r="CK81" s="35">
        <f>683+(33*6)</f>
        <v>881</v>
      </c>
      <c r="CL81" s="35"/>
      <c r="CM81" s="35"/>
      <c r="CN81" s="35"/>
      <c r="CO81" s="35"/>
      <c r="CP81" s="35"/>
      <c r="CQ81" s="35"/>
      <c r="CR81" s="35">
        <f t="shared" si="328"/>
        <v>30951</v>
      </c>
      <c r="CS81" s="35"/>
      <c r="CT81" s="35"/>
      <c r="CU81" s="35"/>
      <c r="CV81" s="35">
        <f>22780+1200*6</f>
        <v>29980</v>
      </c>
      <c r="CW81" s="35">
        <v>750</v>
      </c>
      <c r="CX81" s="35">
        <f>683+36*6</f>
        <v>899</v>
      </c>
      <c r="CY81" s="35"/>
      <c r="CZ81" s="35"/>
      <c r="DA81" s="35"/>
      <c r="DB81" s="35"/>
      <c r="DC81" s="35"/>
      <c r="DD81" s="35"/>
      <c r="DE81" s="35">
        <f t="shared" si="323"/>
        <v>31629</v>
      </c>
      <c r="DF81" s="35"/>
      <c r="DG81" s="35"/>
      <c r="DH81" s="35"/>
      <c r="DI81" s="35">
        <v>22780</v>
      </c>
      <c r="DJ81" s="35">
        <v>750</v>
      </c>
      <c r="DK81" s="35">
        <v>683</v>
      </c>
      <c r="DL81" s="35"/>
      <c r="DM81" s="35"/>
      <c r="DN81" s="35"/>
      <c r="DO81" s="35"/>
      <c r="DP81" s="35"/>
      <c r="DQ81" s="35"/>
      <c r="DR81" s="35">
        <f t="shared" si="329"/>
        <v>24213</v>
      </c>
      <c r="DS81" s="35">
        <f t="shared" si="330"/>
        <v>86793</v>
      </c>
      <c r="DT81" s="35"/>
      <c r="DU81" s="35"/>
      <c r="DV81" s="35"/>
      <c r="DW81" s="35">
        <v>23980</v>
      </c>
      <c r="DX81" s="35">
        <v>750</v>
      </c>
      <c r="DY81" s="35">
        <v>719</v>
      </c>
      <c r="DZ81" s="35"/>
      <c r="EA81" s="35"/>
      <c r="EB81" s="35"/>
      <c r="EC81" s="35"/>
      <c r="ED81" s="35"/>
      <c r="EE81" s="35"/>
      <c r="EF81" s="35">
        <f t="shared" si="331"/>
        <v>25449</v>
      </c>
      <c r="EG81" s="35"/>
      <c r="EH81" s="35"/>
      <c r="EI81" s="35"/>
      <c r="EJ81" s="35">
        <v>23980</v>
      </c>
      <c r="EK81" s="35">
        <v>750</v>
      </c>
      <c r="EL81" s="35">
        <v>719</v>
      </c>
      <c r="EM81" s="35"/>
      <c r="EN81" s="35"/>
      <c r="EO81" s="35"/>
      <c r="EP81" s="35"/>
      <c r="EQ81" s="35"/>
      <c r="ER81" s="35"/>
      <c r="ES81" s="35">
        <f t="shared" si="324"/>
        <v>25449</v>
      </c>
      <c r="ET81" s="35"/>
      <c r="EU81" s="35"/>
      <c r="EV81" s="35"/>
      <c r="EW81" s="35">
        <v>23980</v>
      </c>
      <c r="EX81" s="35">
        <v>750</v>
      </c>
      <c r="EY81" s="35">
        <v>719</v>
      </c>
      <c r="EZ81" s="35"/>
      <c r="FA81" s="35"/>
      <c r="FB81" s="35"/>
      <c r="FC81" s="35"/>
      <c r="FD81" s="35"/>
      <c r="FE81" s="35"/>
      <c r="FF81" s="35">
        <f t="shared" si="332"/>
        <v>25449</v>
      </c>
      <c r="FG81" s="35">
        <f t="shared" si="333"/>
        <v>76347</v>
      </c>
      <c r="FH81" s="35">
        <f t="shared" si="334"/>
        <v>301686</v>
      </c>
    </row>
    <row r="82" spans="1:164" x14ac:dyDescent="0.35">
      <c r="A82" s="34"/>
      <c r="B82" s="40"/>
      <c r="C82" s="41" t="s">
        <v>181</v>
      </c>
      <c r="D82" s="35"/>
      <c r="E82" s="35"/>
      <c r="F82" s="35"/>
      <c r="G82" s="35">
        <v>21690</v>
      </c>
      <c r="H82" s="35">
        <v>750</v>
      </c>
      <c r="I82" s="35">
        <v>651</v>
      </c>
      <c r="J82" s="35"/>
      <c r="K82" s="35"/>
      <c r="L82" s="35"/>
      <c r="M82" s="35"/>
      <c r="N82" s="35"/>
      <c r="O82" s="35"/>
      <c r="P82" s="35">
        <f t="shared" si="325"/>
        <v>23091</v>
      </c>
      <c r="Q82" s="35"/>
      <c r="R82" s="35"/>
      <c r="S82" s="35"/>
      <c r="T82" s="35">
        <v>21690</v>
      </c>
      <c r="U82" s="35">
        <v>750</v>
      </c>
      <c r="V82" s="35">
        <v>651</v>
      </c>
      <c r="W82" s="35"/>
      <c r="X82" s="35"/>
      <c r="Y82" s="35"/>
      <c r="Z82" s="35"/>
      <c r="AA82" s="35"/>
      <c r="AB82" s="35"/>
      <c r="AC82" s="35">
        <f t="shared" si="318"/>
        <v>23091</v>
      </c>
      <c r="AD82" s="35"/>
      <c r="AE82" s="35"/>
      <c r="AF82" s="35"/>
      <c r="AG82" s="35">
        <v>21690</v>
      </c>
      <c r="AH82" s="35">
        <v>750</v>
      </c>
      <c r="AI82" s="35">
        <v>651</v>
      </c>
      <c r="AJ82" s="35"/>
      <c r="AK82" s="35"/>
      <c r="AL82" s="35"/>
      <c r="AM82" s="35"/>
      <c r="AN82" s="35"/>
      <c r="AO82" s="35"/>
      <c r="AP82" s="35">
        <f t="shared" si="319"/>
        <v>23091</v>
      </c>
      <c r="AQ82" s="35">
        <f t="shared" si="320"/>
        <v>69273</v>
      </c>
      <c r="AR82" s="35"/>
      <c r="AS82" s="35"/>
      <c r="AT82" s="35"/>
      <c r="AU82" s="35">
        <v>21690</v>
      </c>
      <c r="AV82" s="35">
        <v>750</v>
      </c>
      <c r="AW82" s="35">
        <v>651</v>
      </c>
      <c r="AX82" s="35"/>
      <c r="AY82" s="35"/>
      <c r="AZ82" s="35"/>
      <c r="BA82" s="35"/>
      <c r="BB82" s="35"/>
      <c r="BC82" s="35"/>
      <c r="BD82" s="35">
        <f t="shared" si="326"/>
        <v>23091</v>
      </c>
      <c r="BE82" s="35"/>
      <c r="BF82" s="35"/>
      <c r="BG82" s="35"/>
      <c r="BH82" s="35">
        <v>21690</v>
      </c>
      <c r="BI82" s="35">
        <v>750</v>
      </c>
      <c r="BJ82" s="35">
        <v>651</v>
      </c>
      <c r="BK82" s="35"/>
      <c r="BL82" s="35"/>
      <c r="BM82" s="35"/>
      <c r="BN82" s="35"/>
      <c r="BO82" s="35"/>
      <c r="BP82" s="35"/>
      <c r="BQ82" s="35">
        <f t="shared" si="321"/>
        <v>23091</v>
      </c>
      <c r="BR82" s="35"/>
      <c r="BS82" s="35"/>
      <c r="BT82" s="35"/>
      <c r="BU82" s="35">
        <v>21690</v>
      </c>
      <c r="BV82" s="35">
        <v>750</v>
      </c>
      <c r="BW82" s="35">
        <v>651</v>
      </c>
      <c r="BX82" s="35"/>
      <c r="BY82" s="35"/>
      <c r="BZ82" s="35"/>
      <c r="CA82" s="35"/>
      <c r="CB82" s="35"/>
      <c r="CC82" s="35"/>
      <c r="CD82" s="35">
        <f t="shared" si="322"/>
        <v>23091</v>
      </c>
      <c r="CE82" s="35">
        <f t="shared" si="327"/>
        <v>69273</v>
      </c>
      <c r="CF82" s="35"/>
      <c r="CG82" s="35"/>
      <c r="CH82" s="35"/>
      <c r="CI82" s="35">
        <f>22780+(1090*6)</f>
        <v>29320</v>
      </c>
      <c r="CJ82" s="35">
        <v>750</v>
      </c>
      <c r="CK82" s="35">
        <f>683+(33*6)</f>
        <v>881</v>
      </c>
      <c r="CL82" s="35"/>
      <c r="CM82" s="35"/>
      <c r="CN82" s="35"/>
      <c r="CO82" s="35"/>
      <c r="CP82" s="35"/>
      <c r="CQ82" s="35"/>
      <c r="CR82" s="35">
        <f t="shared" si="328"/>
        <v>30951</v>
      </c>
      <c r="CS82" s="35"/>
      <c r="CT82" s="35"/>
      <c r="CU82" s="35"/>
      <c r="CV82" s="35">
        <f>22780+1200*6</f>
        <v>29980</v>
      </c>
      <c r="CW82" s="35">
        <v>750</v>
      </c>
      <c r="CX82" s="35">
        <f>683+36*6</f>
        <v>899</v>
      </c>
      <c r="CY82" s="35"/>
      <c r="CZ82" s="35"/>
      <c r="DA82" s="35"/>
      <c r="DB82" s="35"/>
      <c r="DC82" s="35"/>
      <c r="DD82" s="35"/>
      <c r="DE82" s="35">
        <f t="shared" si="323"/>
        <v>31629</v>
      </c>
      <c r="DF82" s="35"/>
      <c r="DG82" s="35"/>
      <c r="DH82" s="35"/>
      <c r="DI82" s="35">
        <v>22780</v>
      </c>
      <c r="DJ82" s="35">
        <v>750</v>
      </c>
      <c r="DK82" s="35">
        <v>683</v>
      </c>
      <c r="DL82" s="35"/>
      <c r="DM82" s="35"/>
      <c r="DN82" s="35"/>
      <c r="DO82" s="35"/>
      <c r="DP82" s="35"/>
      <c r="DQ82" s="35"/>
      <c r="DR82" s="35">
        <f t="shared" si="329"/>
        <v>24213</v>
      </c>
      <c r="DS82" s="35">
        <f t="shared" si="330"/>
        <v>86793</v>
      </c>
      <c r="DT82" s="35"/>
      <c r="DU82" s="35"/>
      <c r="DV82" s="35"/>
      <c r="DW82" s="35">
        <v>23980</v>
      </c>
      <c r="DX82" s="35">
        <v>750</v>
      </c>
      <c r="DY82" s="35">
        <v>719</v>
      </c>
      <c r="DZ82" s="35"/>
      <c r="EA82" s="35"/>
      <c r="EB82" s="35"/>
      <c r="EC82" s="35"/>
      <c r="ED82" s="35"/>
      <c r="EE82" s="35"/>
      <c r="EF82" s="35">
        <f t="shared" si="331"/>
        <v>25449</v>
      </c>
      <c r="EG82" s="35"/>
      <c r="EH82" s="35"/>
      <c r="EI82" s="35"/>
      <c r="EJ82" s="35">
        <v>23980</v>
      </c>
      <c r="EK82" s="35">
        <v>750</v>
      </c>
      <c r="EL82" s="35">
        <v>719</v>
      </c>
      <c r="EM82" s="35"/>
      <c r="EN82" s="35"/>
      <c r="EO82" s="35"/>
      <c r="EP82" s="35"/>
      <c r="EQ82" s="35"/>
      <c r="ER82" s="35"/>
      <c r="ES82" s="35">
        <f t="shared" si="324"/>
        <v>25449</v>
      </c>
      <c r="ET82" s="35"/>
      <c r="EU82" s="35"/>
      <c r="EV82" s="35"/>
      <c r="EW82" s="35">
        <v>23980</v>
      </c>
      <c r="EX82" s="35">
        <v>750</v>
      </c>
      <c r="EY82" s="35">
        <v>719</v>
      </c>
      <c r="EZ82" s="35"/>
      <c r="FA82" s="35"/>
      <c r="FB82" s="35"/>
      <c r="FC82" s="35"/>
      <c r="FD82" s="35"/>
      <c r="FE82" s="35"/>
      <c r="FF82" s="35">
        <f t="shared" si="332"/>
        <v>25449</v>
      </c>
      <c r="FG82" s="35">
        <f t="shared" si="333"/>
        <v>76347</v>
      </c>
      <c r="FH82" s="35">
        <f t="shared" si="334"/>
        <v>301686</v>
      </c>
    </row>
    <row r="83" spans="1:164" x14ac:dyDescent="0.35">
      <c r="A83" s="34"/>
      <c r="B83" s="40"/>
      <c r="C83" s="41" t="s">
        <v>182</v>
      </c>
      <c r="D83" s="35"/>
      <c r="E83" s="35"/>
      <c r="F83" s="35"/>
      <c r="G83" s="35">
        <v>21690</v>
      </c>
      <c r="H83" s="35">
        <v>750</v>
      </c>
      <c r="I83" s="35">
        <v>651</v>
      </c>
      <c r="J83" s="35"/>
      <c r="K83" s="35"/>
      <c r="L83" s="35"/>
      <c r="M83" s="35"/>
      <c r="N83" s="35"/>
      <c r="O83" s="35"/>
      <c r="P83" s="35">
        <f t="shared" si="325"/>
        <v>23091</v>
      </c>
      <c r="Q83" s="35"/>
      <c r="R83" s="35"/>
      <c r="S83" s="35"/>
      <c r="T83" s="35">
        <v>21690</v>
      </c>
      <c r="U83" s="35">
        <v>750</v>
      </c>
      <c r="V83" s="35">
        <v>651</v>
      </c>
      <c r="W83" s="35"/>
      <c r="X83" s="35"/>
      <c r="Y83" s="35"/>
      <c r="Z83" s="35"/>
      <c r="AA83" s="35"/>
      <c r="AB83" s="35"/>
      <c r="AC83" s="35">
        <f t="shared" si="318"/>
        <v>23091</v>
      </c>
      <c r="AD83" s="35"/>
      <c r="AE83" s="35"/>
      <c r="AF83" s="35"/>
      <c r="AG83" s="35">
        <v>21690</v>
      </c>
      <c r="AH83" s="35">
        <v>750</v>
      </c>
      <c r="AI83" s="35">
        <v>651</v>
      </c>
      <c r="AJ83" s="35"/>
      <c r="AK83" s="35"/>
      <c r="AL83" s="35"/>
      <c r="AM83" s="35"/>
      <c r="AN83" s="35"/>
      <c r="AO83" s="35"/>
      <c r="AP83" s="35">
        <f t="shared" si="319"/>
        <v>23091</v>
      </c>
      <c r="AQ83" s="35">
        <f t="shared" si="320"/>
        <v>69273</v>
      </c>
      <c r="AR83" s="35"/>
      <c r="AS83" s="35"/>
      <c r="AT83" s="35"/>
      <c r="AU83" s="35">
        <v>21690</v>
      </c>
      <c r="AV83" s="35">
        <v>750</v>
      </c>
      <c r="AW83" s="35">
        <v>651</v>
      </c>
      <c r="AX83" s="35"/>
      <c r="AY83" s="35"/>
      <c r="AZ83" s="35"/>
      <c r="BA83" s="35"/>
      <c r="BB83" s="35"/>
      <c r="BC83" s="35"/>
      <c r="BD83" s="35">
        <f t="shared" si="326"/>
        <v>23091</v>
      </c>
      <c r="BE83" s="35"/>
      <c r="BF83" s="35"/>
      <c r="BG83" s="35"/>
      <c r="BH83" s="35">
        <v>21690</v>
      </c>
      <c r="BI83" s="35">
        <v>750</v>
      </c>
      <c r="BJ83" s="35">
        <v>651</v>
      </c>
      <c r="BK83" s="35"/>
      <c r="BL83" s="35"/>
      <c r="BM83" s="35"/>
      <c r="BN83" s="35"/>
      <c r="BO83" s="35"/>
      <c r="BP83" s="35"/>
      <c r="BQ83" s="35">
        <f t="shared" si="321"/>
        <v>23091</v>
      </c>
      <c r="BR83" s="35"/>
      <c r="BS83" s="35"/>
      <c r="BT83" s="35"/>
      <c r="BU83" s="35">
        <v>21690</v>
      </c>
      <c r="BV83" s="35">
        <v>750</v>
      </c>
      <c r="BW83" s="35">
        <v>651</v>
      </c>
      <c r="BX83" s="35"/>
      <c r="BY83" s="35"/>
      <c r="BZ83" s="35"/>
      <c r="CA83" s="35"/>
      <c r="CB83" s="35"/>
      <c r="CC83" s="35"/>
      <c r="CD83" s="35">
        <f t="shared" si="322"/>
        <v>23091</v>
      </c>
      <c r="CE83" s="35">
        <f t="shared" si="327"/>
        <v>69273</v>
      </c>
      <c r="CF83" s="35"/>
      <c r="CG83" s="35"/>
      <c r="CH83" s="35"/>
      <c r="CI83" s="35">
        <f>22780+(1090*6)</f>
        <v>29320</v>
      </c>
      <c r="CJ83" s="35">
        <v>750</v>
      </c>
      <c r="CK83" s="35">
        <f>683+(33*6)</f>
        <v>881</v>
      </c>
      <c r="CL83" s="35"/>
      <c r="CM83" s="35"/>
      <c r="CN83" s="35"/>
      <c r="CO83" s="35"/>
      <c r="CP83" s="35"/>
      <c r="CQ83" s="35"/>
      <c r="CR83" s="35">
        <f t="shared" si="328"/>
        <v>30951</v>
      </c>
      <c r="CS83" s="35"/>
      <c r="CT83" s="35"/>
      <c r="CU83" s="35"/>
      <c r="CV83" s="35">
        <f>22780+1200*6</f>
        <v>29980</v>
      </c>
      <c r="CW83" s="35">
        <v>750</v>
      </c>
      <c r="CX83" s="35">
        <f>683+36*6</f>
        <v>899</v>
      </c>
      <c r="CY83" s="35"/>
      <c r="CZ83" s="35"/>
      <c r="DA83" s="35"/>
      <c r="DB83" s="35"/>
      <c r="DC83" s="35"/>
      <c r="DD83" s="35"/>
      <c r="DE83" s="35">
        <f t="shared" si="323"/>
        <v>31629</v>
      </c>
      <c r="DF83" s="35"/>
      <c r="DG83" s="35"/>
      <c r="DH83" s="35"/>
      <c r="DI83" s="35">
        <v>22780</v>
      </c>
      <c r="DJ83" s="35">
        <v>750</v>
      </c>
      <c r="DK83" s="35">
        <v>683</v>
      </c>
      <c r="DL83" s="35"/>
      <c r="DM83" s="35"/>
      <c r="DN83" s="35"/>
      <c r="DO83" s="35"/>
      <c r="DP83" s="35"/>
      <c r="DQ83" s="35"/>
      <c r="DR83" s="35">
        <f t="shared" si="329"/>
        <v>24213</v>
      </c>
      <c r="DS83" s="35">
        <f t="shared" si="330"/>
        <v>86793</v>
      </c>
      <c r="DT83" s="35"/>
      <c r="DU83" s="35"/>
      <c r="DV83" s="35"/>
      <c r="DW83" s="35">
        <v>23980</v>
      </c>
      <c r="DX83" s="35">
        <v>750</v>
      </c>
      <c r="DY83" s="35">
        <v>719</v>
      </c>
      <c r="DZ83" s="35"/>
      <c r="EA83" s="35"/>
      <c r="EB83" s="35"/>
      <c r="EC83" s="35"/>
      <c r="ED83" s="35"/>
      <c r="EE83" s="35"/>
      <c r="EF83" s="35">
        <f t="shared" si="331"/>
        <v>25449</v>
      </c>
      <c r="EG83" s="35"/>
      <c r="EH83" s="35"/>
      <c r="EI83" s="35"/>
      <c r="EJ83" s="35">
        <v>23980</v>
      </c>
      <c r="EK83" s="35">
        <v>750</v>
      </c>
      <c r="EL83" s="35">
        <v>719</v>
      </c>
      <c r="EM83" s="35"/>
      <c r="EN83" s="35"/>
      <c r="EO83" s="35"/>
      <c r="EP83" s="35"/>
      <c r="EQ83" s="35"/>
      <c r="ER83" s="35"/>
      <c r="ES83" s="35">
        <f t="shared" si="324"/>
        <v>25449</v>
      </c>
      <c r="ET83" s="35"/>
      <c r="EU83" s="35"/>
      <c r="EV83" s="35"/>
      <c r="EW83" s="35">
        <v>23980</v>
      </c>
      <c r="EX83" s="35">
        <v>750</v>
      </c>
      <c r="EY83" s="35">
        <v>719</v>
      </c>
      <c r="EZ83" s="35"/>
      <c r="FA83" s="35"/>
      <c r="FB83" s="35"/>
      <c r="FC83" s="35"/>
      <c r="FD83" s="35"/>
      <c r="FE83" s="35"/>
      <c r="FF83" s="35">
        <f t="shared" si="332"/>
        <v>25449</v>
      </c>
      <c r="FG83" s="35">
        <f t="shared" si="333"/>
        <v>76347</v>
      </c>
      <c r="FH83" s="35">
        <f t="shared" si="334"/>
        <v>301686</v>
      </c>
    </row>
    <row r="84" spans="1:164" x14ac:dyDescent="0.35">
      <c r="A84" s="34"/>
      <c r="B84" s="40"/>
      <c r="C84" s="41" t="s">
        <v>183</v>
      </c>
      <c r="D84" s="35"/>
      <c r="E84" s="35"/>
      <c r="F84" s="35"/>
      <c r="G84" s="35">
        <v>21690</v>
      </c>
      <c r="H84" s="35">
        <v>750</v>
      </c>
      <c r="I84" s="35">
        <v>651</v>
      </c>
      <c r="J84" s="35"/>
      <c r="K84" s="35"/>
      <c r="L84" s="35"/>
      <c r="M84" s="35"/>
      <c r="N84" s="35"/>
      <c r="O84" s="35"/>
      <c r="P84" s="35">
        <f t="shared" si="325"/>
        <v>23091</v>
      </c>
      <c r="Q84" s="35"/>
      <c r="R84" s="35"/>
      <c r="S84" s="35"/>
      <c r="T84" s="35">
        <v>21690</v>
      </c>
      <c r="U84" s="35">
        <v>750</v>
      </c>
      <c r="V84" s="35">
        <v>651</v>
      </c>
      <c r="W84" s="35"/>
      <c r="X84" s="35"/>
      <c r="Y84" s="35"/>
      <c r="Z84" s="35"/>
      <c r="AA84" s="35"/>
      <c r="AB84" s="35"/>
      <c r="AC84" s="35">
        <f t="shared" si="318"/>
        <v>23091</v>
      </c>
      <c r="AD84" s="35"/>
      <c r="AE84" s="35"/>
      <c r="AF84" s="35"/>
      <c r="AG84" s="35">
        <v>21690</v>
      </c>
      <c r="AH84" s="35">
        <v>750</v>
      </c>
      <c r="AI84" s="35">
        <v>651</v>
      </c>
      <c r="AJ84" s="35"/>
      <c r="AK84" s="35"/>
      <c r="AL84" s="35"/>
      <c r="AM84" s="35"/>
      <c r="AN84" s="35"/>
      <c r="AO84" s="35"/>
      <c r="AP84" s="35">
        <f t="shared" si="319"/>
        <v>23091</v>
      </c>
      <c r="AQ84" s="35">
        <f t="shared" si="320"/>
        <v>69273</v>
      </c>
      <c r="AR84" s="35"/>
      <c r="AS84" s="35"/>
      <c r="AT84" s="35"/>
      <c r="AU84" s="35">
        <v>21690</v>
      </c>
      <c r="AV84" s="35">
        <v>750</v>
      </c>
      <c r="AW84" s="35">
        <v>651</v>
      </c>
      <c r="AX84" s="35"/>
      <c r="AY84" s="35"/>
      <c r="AZ84" s="35"/>
      <c r="BA84" s="35"/>
      <c r="BB84" s="35"/>
      <c r="BC84" s="35"/>
      <c r="BD84" s="35">
        <f t="shared" si="326"/>
        <v>23091</v>
      </c>
      <c r="BE84" s="35"/>
      <c r="BF84" s="35"/>
      <c r="BG84" s="35"/>
      <c r="BH84" s="35">
        <v>21690</v>
      </c>
      <c r="BI84" s="35">
        <v>750</v>
      </c>
      <c r="BJ84" s="35">
        <v>651</v>
      </c>
      <c r="BK84" s="35"/>
      <c r="BL84" s="35"/>
      <c r="BM84" s="35"/>
      <c r="BN84" s="35"/>
      <c r="BO84" s="35"/>
      <c r="BP84" s="35"/>
      <c r="BQ84" s="35">
        <f t="shared" si="321"/>
        <v>23091</v>
      </c>
      <c r="BR84" s="35"/>
      <c r="BS84" s="35"/>
      <c r="BT84" s="35"/>
      <c r="BU84" s="35">
        <v>21690</v>
      </c>
      <c r="BV84" s="35">
        <v>750</v>
      </c>
      <c r="BW84" s="35">
        <v>651</v>
      </c>
      <c r="BX84" s="35"/>
      <c r="BY84" s="35"/>
      <c r="BZ84" s="35"/>
      <c r="CA84" s="35"/>
      <c r="CB84" s="35"/>
      <c r="CC84" s="35"/>
      <c r="CD84" s="35">
        <f t="shared" si="322"/>
        <v>23091</v>
      </c>
      <c r="CE84" s="35">
        <f t="shared" si="327"/>
        <v>69273</v>
      </c>
      <c r="CF84" s="35"/>
      <c r="CG84" s="35"/>
      <c r="CH84" s="35"/>
      <c r="CI84" s="35">
        <f>22780+(1090*6)</f>
        <v>29320</v>
      </c>
      <c r="CJ84" s="35">
        <v>750</v>
      </c>
      <c r="CK84" s="35">
        <f>683+(33*6)</f>
        <v>881</v>
      </c>
      <c r="CL84" s="35"/>
      <c r="CM84" s="35"/>
      <c r="CN84" s="35"/>
      <c r="CO84" s="35"/>
      <c r="CP84" s="35"/>
      <c r="CQ84" s="35"/>
      <c r="CR84" s="35">
        <f t="shared" si="328"/>
        <v>30951</v>
      </c>
      <c r="CS84" s="35"/>
      <c r="CT84" s="35"/>
      <c r="CU84" s="35"/>
      <c r="CV84" s="35">
        <f>22780+1200*6</f>
        <v>29980</v>
      </c>
      <c r="CW84" s="35">
        <v>750</v>
      </c>
      <c r="CX84" s="35">
        <f>683+36*6</f>
        <v>899</v>
      </c>
      <c r="CY84" s="35"/>
      <c r="CZ84" s="35"/>
      <c r="DA84" s="35"/>
      <c r="DB84" s="35"/>
      <c r="DC84" s="35"/>
      <c r="DD84" s="35"/>
      <c r="DE84" s="35">
        <f t="shared" si="323"/>
        <v>31629</v>
      </c>
      <c r="DF84" s="35"/>
      <c r="DG84" s="35"/>
      <c r="DH84" s="35"/>
      <c r="DI84" s="35">
        <v>22780</v>
      </c>
      <c r="DJ84" s="35">
        <v>750</v>
      </c>
      <c r="DK84" s="35">
        <v>683</v>
      </c>
      <c r="DL84" s="35"/>
      <c r="DM84" s="35"/>
      <c r="DN84" s="35"/>
      <c r="DO84" s="35"/>
      <c r="DP84" s="35"/>
      <c r="DQ84" s="35"/>
      <c r="DR84" s="35">
        <f t="shared" si="329"/>
        <v>24213</v>
      </c>
      <c r="DS84" s="35">
        <f t="shared" si="330"/>
        <v>86793</v>
      </c>
      <c r="DT84" s="35"/>
      <c r="DU84" s="35"/>
      <c r="DV84" s="35"/>
      <c r="DW84" s="35">
        <v>23980</v>
      </c>
      <c r="DX84" s="35">
        <v>750</v>
      </c>
      <c r="DY84" s="35">
        <v>719</v>
      </c>
      <c r="DZ84" s="35"/>
      <c r="EA84" s="35"/>
      <c r="EB84" s="35"/>
      <c r="EC84" s="35"/>
      <c r="ED84" s="35"/>
      <c r="EE84" s="35"/>
      <c r="EF84" s="35">
        <f t="shared" si="331"/>
        <v>25449</v>
      </c>
      <c r="EG84" s="35"/>
      <c r="EH84" s="35"/>
      <c r="EI84" s="35"/>
      <c r="EJ84" s="35">
        <v>23980</v>
      </c>
      <c r="EK84" s="35">
        <v>750</v>
      </c>
      <c r="EL84" s="35">
        <v>719</v>
      </c>
      <c r="EM84" s="35"/>
      <c r="EN84" s="35"/>
      <c r="EO84" s="35"/>
      <c r="EP84" s="35"/>
      <c r="EQ84" s="35"/>
      <c r="ER84" s="35"/>
      <c r="ES84" s="35">
        <f t="shared" si="324"/>
        <v>25449</v>
      </c>
      <c r="ET84" s="35"/>
      <c r="EU84" s="35"/>
      <c r="EV84" s="35"/>
      <c r="EW84" s="35">
        <v>23980</v>
      </c>
      <c r="EX84" s="35">
        <v>750</v>
      </c>
      <c r="EY84" s="35">
        <v>719</v>
      </c>
      <c r="EZ84" s="35"/>
      <c r="FA84" s="35"/>
      <c r="FB84" s="35"/>
      <c r="FC84" s="35"/>
      <c r="FD84" s="35"/>
      <c r="FE84" s="35"/>
      <c r="FF84" s="35">
        <f t="shared" si="332"/>
        <v>25449</v>
      </c>
      <c r="FG84" s="35">
        <f t="shared" si="333"/>
        <v>76347</v>
      </c>
      <c r="FH84" s="35">
        <f t="shared" si="334"/>
        <v>301686</v>
      </c>
    </row>
    <row r="85" spans="1:164" x14ac:dyDescent="0.35">
      <c r="A85" s="34"/>
      <c r="B85" s="40"/>
      <c r="C85" s="41" t="s">
        <v>184</v>
      </c>
      <c r="D85" s="35"/>
      <c r="E85" s="35"/>
      <c r="F85" s="35"/>
      <c r="G85" s="35">
        <v>20650</v>
      </c>
      <c r="H85" s="35">
        <v>750</v>
      </c>
      <c r="I85" s="35">
        <v>620</v>
      </c>
      <c r="J85" s="35"/>
      <c r="K85" s="35"/>
      <c r="L85" s="35"/>
      <c r="M85" s="35"/>
      <c r="N85" s="35"/>
      <c r="O85" s="35"/>
      <c r="P85" s="35">
        <f t="shared" si="325"/>
        <v>22020</v>
      </c>
      <c r="Q85" s="35"/>
      <c r="R85" s="35"/>
      <c r="S85" s="35"/>
      <c r="T85" s="35">
        <v>20650</v>
      </c>
      <c r="U85" s="35">
        <v>750</v>
      </c>
      <c r="V85" s="35">
        <v>620</v>
      </c>
      <c r="W85" s="35"/>
      <c r="X85" s="35"/>
      <c r="Y85" s="35"/>
      <c r="Z85" s="35"/>
      <c r="AA85" s="35"/>
      <c r="AB85" s="35"/>
      <c r="AC85" s="35">
        <f t="shared" si="318"/>
        <v>22020</v>
      </c>
      <c r="AD85" s="35"/>
      <c r="AE85" s="35"/>
      <c r="AF85" s="35"/>
      <c r="AG85" s="35">
        <v>20650</v>
      </c>
      <c r="AH85" s="35">
        <v>750</v>
      </c>
      <c r="AI85" s="35">
        <v>620</v>
      </c>
      <c r="AJ85" s="35"/>
      <c r="AK85" s="35"/>
      <c r="AL85" s="35"/>
      <c r="AM85" s="35"/>
      <c r="AN85" s="35"/>
      <c r="AO85" s="35"/>
      <c r="AP85" s="35">
        <f t="shared" si="319"/>
        <v>22020</v>
      </c>
      <c r="AQ85" s="35">
        <f t="shared" si="320"/>
        <v>66060</v>
      </c>
      <c r="AR85" s="35"/>
      <c r="AS85" s="35"/>
      <c r="AT85" s="35"/>
      <c r="AU85" s="35">
        <v>20650</v>
      </c>
      <c r="AV85" s="35">
        <v>750</v>
      </c>
      <c r="AW85" s="35">
        <v>620</v>
      </c>
      <c r="AX85" s="35"/>
      <c r="AY85" s="35"/>
      <c r="AZ85" s="35"/>
      <c r="BA85" s="35"/>
      <c r="BB85" s="35"/>
      <c r="BC85" s="35"/>
      <c r="BD85" s="35">
        <f t="shared" si="326"/>
        <v>22020</v>
      </c>
      <c r="BE85" s="35"/>
      <c r="BF85" s="35"/>
      <c r="BG85" s="35"/>
      <c r="BH85" s="35">
        <v>20650</v>
      </c>
      <c r="BI85" s="35">
        <v>750</v>
      </c>
      <c r="BJ85" s="35">
        <v>620</v>
      </c>
      <c r="BK85" s="35"/>
      <c r="BL85" s="35"/>
      <c r="BM85" s="35"/>
      <c r="BN85" s="35"/>
      <c r="BO85" s="35"/>
      <c r="BP85" s="35"/>
      <c r="BQ85" s="35">
        <f t="shared" si="321"/>
        <v>22020</v>
      </c>
      <c r="BR85" s="35"/>
      <c r="BS85" s="35"/>
      <c r="BT85" s="35"/>
      <c r="BU85" s="35">
        <v>20650</v>
      </c>
      <c r="BV85" s="35">
        <v>750</v>
      </c>
      <c r="BW85" s="35">
        <v>620</v>
      </c>
      <c r="BX85" s="35"/>
      <c r="BY85" s="35"/>
      <c r="BZ85" s="35"/>
      <c r="CA85" s="35"/>
      <c r="CB85" s="35"/>
      <c r="CC85" s="35"/>
      <c r="CD85" s="35">
        <f t="shared" si="322"/>
        <v>22020</v>
      </c>
      <c r="CE85" s="35">
        <f t="shared" si="327"/>
        <v>66060</v>
      </c>
      <c r="CF85" s="35"/>
      <c r="CG85" s="35"/>
      <c r="CH85" s="35"/>
      <c r="CI85" s="35">
        <f>21690+(1040*6)</f>
        <v>27930</v>
      </c>
      <c r="CJ85" s="35">
        <v>750</v>
      </c>
      <c r="CK85" s="35">
        <f>651+(31*6)</f>
        <v>837</v>
      </c>
      <c r="CL85" s="35"/>
      <c r="CM85" s="35"/>
      <c r="CN85" s="35"/>
      <c r="CO85" s="35"/>
      <c r="CP85" s="35"/>
      <c r="CQ85" s="35"/>
      <c r="CR85" s="35">
        <f t="shared" si="328"/>
        <v>29517</v>
      </c>
      <c r="CS85" s="35"/>
      <c r="CT85" s="35"/>
      <c r="CU85" s="35"/>
      <c r="CV85" s="35">
        <f>21690+980*6</f>
        <v>27570</v>
      </c>
      <c r="CW85" s="35">
        <v>750</v>
      </c>
      <c r="CX85" s="35">
        <f>651+29*6</f>
        <v>825</v>
      </c>
      <c r="CY85" s="35"/>
      <c r="CZ85" s="35"/>
      <c r="DA85" s="35"/>
      <c r="DB85" s="35"/>
      <c r="DC85" s="35"/>
      <c r="DD85" s="35"/>
      <c r="DE85" s="35">
        <f t="shared" si="323"/>
        <v>29145</v>
      </c>
      <c r="DF85" s="35"/>
      <c r="DG85" s="35"/>
      <c r="DH85" s="35"/>
      <c r="DI85" s="35">
        <v>21690</v>
      </c>
      <c r="DJ85" s="35">
        <v>750</v>
      </c>
      <c r="DK85" s="35">
        <v>651</v>
      </c>
      <c r="DL85" s="35"/>
      <c r="DM85" s="35"/>
      <c r="DN85" s="35"/>
      <c r="DO85" s="35"/>
      <c r="DP85" s="35"/>
      <c r="DQ85" s="35"/>
      <c r="DR85" s="35">
        <f t="shared" si="329"/>
        <v>23091</v>
      </c>
      <c r="DS85" s="35">
        <f t="shared" si="330"/>
        <v>81753</v>
      </c>
      <c r="DT85" s="35"/>
      <c r="DU85" s="35"/>
      <c r="DV85" s="35"/>
      <c r="DW85" s="35">
        <v>0</v>
      </c>
      <c r="DX85" s="35">
        <v>0</v>
      </c>
      <c r="DY85" s="35">
        <v>0</v>
      </c>
      <c r="DZ85" s="35"/>
      <c r="EA85" s="35"/>
      <c r="EB85" s="35"/>
      <c r="EC85" s="35"/>
      <c r="ED85" s="35"/>
      <c r="EE85" s="35"/>
      <c r="EF85" s="35">
        <f t="shared" si="331"/>
        <v>0</v>
      </c>
      <c r="EG85" s="35"/>
      <c r="EH85" s="35"/>
      <c r="EI85" s="35"/>
      <c r="EJ85" s="35">
        <v>0</v>
      </c>
      <c r="EK85" s="35">
        <v>0</v>
      </c>
      <c r="EL85" s="35">
        <v>0</v>
      </c>
      <c r="EM85" s="35"/>
      <c r="EN85" s="35"/>
      <c r="EO85" s="35"/>
      <c r="EP85" s="35"/>
      <c r="EQ85" s="35"/>
      <c r="ER85" s="35"/>
      <c r="ES85" s="35">
        <f t="shared" si="324"/>
        <v>0</v>
      </c>
      <c r="ET85" s="35"/>
      <c r="EU85" s="35"/>
      <c r="EV85" s="35"/>
      <c r="EW85" s="35">
        <v>0</v>
      </c>
      <c r="EX85" s="35">
        <v>0</v>
      </c>
      <c r="EY85" s="35">
        <v>0</v>
      </c>
      <c r="EZ85" s="35"/>
      <c r="FA85" s="35"/>
      <c r="FB85" s="35"/>
      <c r="FC85" s="35"/>
      <c r="FD85" s="35"/>
      <c r="FE85" s="35"/>
      <c r="FF85" s="35">
        <f t="shared" si="332"/>
        <v>0</v>
      </c>
      <c r="FG85" s="35">
        <f t="shared" si="333"/>
        <v>0</v>
      </c>
      <c r="FH85" s="35">
        <f t="shared" si="334"/>
        <v>213873</v>
      </c>
    </row>
    <row r="86" spans="1:164" x14ac:dyDescent="0.35">
      <c r="A86" s="34"/>
      <c r="B86" s="40"/>
      <c r="C86" s="41" t="s">
        <v>264</v>
      </c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>
        <f t="shared" ref="P86" si="335">SUM(D86:O86)</f>
        <v>0</v>
      </c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>
        <f t="shared" ref="AC86" si="336">SUM(Q86:AB86)</f>
        <v>0</v>
      </c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>
        <f t="shared" ref="AP86" si="337">SUM(AD86:AO86)</f>
        <v>0</v>
      </c>
      <c r="AQ86" s="35">
        <f t="shared" ref="AQ86" si="338">+P86+AC86+AP86</f>
        <v>0</v>
      </c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>
        <f t="shared" ref="BD86" si="339">SUM(AR86:BC86)</f>
        <v>0</v>
      </c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>
        <f t="shared" ref="BQ86" si="340">SUM(BE86:BP86)</f>
        <v>0</v>
      </c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>
        <f t="shared" ref="CD86" si="341">SUM(BR86:CC86)</f>
        <v>0</v>
      </c>
      <c r="CE86" s="35">
        <f t="shared" ref="CE86" si="342">+BD86+BQ86+CD86</f>
        <v>0</v>
      </c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>
        <f t="shared" ref="CR86" si="343">SUM(CF86:CQ86)</f>
        <v>0</v>
      </c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>
        <f t="shared" ref="DE86" si="344">SUM(CS86:DD86)</f>
        <v>0</v>
      </c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>
        <f t="shared" ref="DR86" si="345">SUM(DF86:DQ86)</f>
        <v>0</v>
      </c>
      <c r="DS86" s="35">
        <f t="shared" ref="DS86" si="346">+CR86+DE86+DR86</f>
        <v>0</v>
      </c>
      <c r="DT86" s="35"/>
      <c r="DU86" s="35"/>
      <c r="DV86" s="35"/>
      <c r="DW86" s="35">
        <v>22670</v>
      </c>
      <c r="DX86" s="35">
        <v>750</v>
      </c>
      <c r="DY86" s="35">
        <v>680</v>
      </c>
      <c r="DZ86" s="35"/>
      <c r="EA86" s="35"/>
      <c r="EB86" s="35"/>
      <c r="EC86" s="35"/>
      <c r="ED86" s="35"/>
      <c r="EE86" s="35"/>
      <c r="EF86" s="35">
        <f t="shared" ref="EF86" si="347">SUM(DT86:EE86)</f>
        <v>24100</v>
      </c>
      <c r="EG86" s="35"/>
      <c r="EH86" s="35"/>
      <c r="EI86" s="35"/>
      <c r="EJ86" s="35">
        <v>22670</v>
      </c>
      <c r="EK86" s="35">
        <v>750</v>
      </c>
      <c r="EL86" s="35">
        <v>680</v>
      </c>
      <c r="EM86" s="35"/>
      <c r="EN86" s="35"/>
      <c r="EO86" s="35"/>
      <c r="EP86" s="35"/>
      <c r="EQ86" s="35"/>
      <c r="ER86" s="35"/>
      <c r="ES86" s="35">
        <f t="shared" ref="ES86" si="348">SUM(EG86:ER86)</f>
        <v>24100</v>
      </c>
      <c r="ET86" s="35"/>
      <c r="EU86" s="35"/>
      <c r="EV86" s="35"/>
      <c r="EW86" s="35">
        <v>22670</v>
      </c>
      <c r="EX86" s="35">
        <v>750</v>
      </c>
      <c r="EY86" s="35">
        <v>680</v>
      </c>
      <c r="EZ86" s="35"/>
      <c r="FA86" s="35"/>
      <c r="FB86" s="35"/>
      <c r="FC86" s="35"/>
      <c r="FD86" s="35"/>
      <c r="FE86" s="35"/>
      <c r="FF86" s="35">
        <f t="shared" ref="FF86" si="349">SUM(ET86:FE86)</f>
        <v>24100</v>
      </c>
      <c r="FG86" s="35">
        <f t="shared" ref="FG86" si="350">+EF86+ES86+FF86</f>
        <v>72300</v>
      </c>
      <c r="FH86" s="35">
        <f t="shared" ref="FH86" si="351">+AQ86+CE86+DS86+FG86</f>
        <v>72300</v>
      </c>
    </row>
    <row r="87" spans="1:164" x14ac:dyDescent="0.35">
      <c r="A87" s="34"/>
      <c r="B87" s="40"/>
      <c r="C87" s="41" t="s">
        <v>185</v>
      </c>
      <c r="D87" s="35"/>
      <c r="E87" s="35"/>
      <c r="F87" s="35"/>
      <c r="G87" s="35">
        <v>20650</v>
      </c>
      <c r="H87" s="35">
        <v>750</v>
      </c>
      <c r="I87" s="35">
        <v>620</v>
      </c>
      <c r="J87" s="35"/>
      <c r="K87" s="35"/>
      <c r="L87" s="35"/>
      <c r="M87" s="35"/>
      <c r="N87" s="35"/>
      <c r="O87" s="35"/>
      <c r="P87" s="35">
        <f t="shared" si="325"/>
        <v>22020</v>
      </c>
      <c r="Q87" s="35"/>
      <c r="R87" s="35"/>
      <c r="S87" s="35"/>
      <c r="T87" s="35">
        <v>20650</v>
      </c>
      <c r="U87" s="35">
        <v>750</v>
      </c>
      <c r="V87" s="35">
        <v>620</v>
      </c>
      <c r="W87" s="35"/>
      <c r="X87" s="35"/>
      <c r="Y87" s="35"/>
      <c r="Z87" s="35"/>
      <c r="AA87" s="35"/>
      <c r="AB87" s="35"/>
      <c r="AC87" s="35">
        <f t="shared" si="318"/>
        <v>22020</v>
      </c>
      <c r="AD87" s="35"/>
      <c r="AE87" s="35"/>
      <c r="AF87" s="35"/>
      <c r="AG87" s="35">
        <v>20650</v>
      </c>
      <c r="AH87" s="35">
        <v>750</v>
      </c>
      <c r="AI87" s="35">
        <v>620</v>
      </c>
      <c r="AJ87" s="35"/>
      <c r="AK87" s="35"/>
      <c r="AL87" s="35"/>
      <c r="AM87" s="35"/>
      <c r="AN87" s="35"/>
      <c r="AO87" s="35"/>
      <c r="AP87" s="35">
        <f t="shared" si="319"/>
        <v>22020</v>
      </c>
      <c r="AQ87" s="35">
        <f t="shared" si="320"/>
        <v>66060</v>
      </c>
      <c r="AR87" s="35"/>
      <c r="AS87" s="35"/>
      <c r="AT87" s="35"/>
      <c r="AU87" s="35">
        <v>20650</v>
      </c>
      <c r="AV87" s="35">
        <v>750</v>
      </c>
      <c r="AW87" s="35">
        <v>620</v>
      </c>
      <c r="AX87" s="35"/>
      <c r="AY87" s="35"/>
      <c r="AZ87" s="35"/>
      <c r="BA87" s="35"/>
      <c r="BB87" s="35"/>
      <c r="BC87" s="35"/>
      <c r="BD87" s="35">
        <f t="shared" si="326"/>
        <v>22020</v>
      </c>
      <c r="BE87" s="35"/>
      <c r="BF87" s="35"/>
      <c r="BG87" s="35"/>
      <c r="BH87" s="35">
        <v>20650</v>
      </c>
      <c r="BI87" s="35">
        <v>750</v>
      </c>
      <c r="BJ87" s="35">
        <v>620</v>
      </c>
      <c r="BK87" s="35"/>
      <c r="BL87" s="35"/>
      <c r="BM87" s="35"/>
      <c r="BN87" s="35"/>
      <c r="BO87" s="35"/>
      <c r="BP87" s="35"/>
      <c r="BQ87" s="35">
        <f t="shared" si="321"/>
        <v>22020</v>
      </c>
      <c r="BR87" s="35"/>
      <c r="BS87" s="35"/>
      <c r="BT87" s="35"/>
      <c r="BU87" s="35">
        <v>20650</v>
      </c>
      <c r="BV87" s="35">
        <v>750</v>
      </c>
      <c r="BW87" s="35">
        <v>620</v>
      </c>
      <c r="BX87" s="35"/>
      <c r="BY87" s="35"/>
      <c r="BZ87" s="35"/>
      <c r="CA87" s="35"/>
      <c r="CB87" s="35"/>
      <c r="CC87" s="35"/>
      <c r="CD87" s="35">
        <f t="shared" si="322"/>
        <v>22020</v>
      </c>
      <c r="CE87" s="35">
        <f t="shared" si="327"/>
        <v>66060</v>
      </c>
      <c r="CF87" s="35"/>
      <c r="CG87" s="35"/>
      <c r="CH87" s="35"/>
      <c r="CI87" s="35">
        <f>21690+(1040*6)</f>
        <v>27930</v>
      </c>
      <c r="CJ87" s="35">
        <v>750</v>
      </c>
      <c r="CK87" s="35">
        <f>651+(31*6)</f>
        <v>837</v>
      </c>
      <c r="CL87" s="35"/>
      <c r="CM87" s="35"/>
      <c r="CN87" s="35"/>
      <c r="CO87" s="35"/>
      <c r="CP87" s="35"/>
      <c r="CQ87" s="35"/>
      <c r="CR87" s="35">
        <f t="shared" si="328"/>
        <v>29517</v>
      </c>
      <c r="CS87" s="35"/>
      <c r="CT87" s="35"/>
      <c r="CU87" s="35"/>
      <c r="CV87" s="35">
        <f>21690+980*6</f>
        <v>27570</v>
      </c>
      <c r="CW87" s="35">
        <v>750</v>
      </c>
      <c r="CX87" s="35">
        <f>651+29*6</f>
        <v>825</v>
      </c>
      <c r="CY87" s="35"/>
      <c r="CZ87" s="35"/>
      <c r="DA87" s="35"/>
      <c r="DB87" s="35"/>
      <c r="DC87" s="35"/>
      <c r="DD87" s="35"/>
      <c r="DE87" s="35">
        <f t="shared" si="323"/>
        <v>29145</v>
      </c>
      <c r="DF87" s="35"/>
      <c r="DG87" s="35"/>
      <c r="DH87" s="35"/>
      <c r="DI87" s="35">
        <v>21690</v>
      </c>
      <c r="DJ87" s="35">
        <v>750</v>
      </c>
      <c r="DK87" s="35">
        <v>651</v>
      </c>
      <c r="DL87" s="35"/>
      <c r="DM87" s="35"/>
      <c r="DN87" s="35"/>
      <c r="DO87" s="35"/>
      <c r="DP87" s="35"/>
      <c r="DQ87" s="35"/>
      <c r="DR87" s="35">
        <f t="shared" si="329"/>
        <v>23091</v>
      </c>
      <c r="DS87" s="35">
        <f t="shared" si="330"/>
        <v>81753</v>
      </c>
      <c r="DT87" s="35"/>
      <c r="DU87" s="35"/>
      <c r="DV87" s="35"/>
      <c r="DW87" s="35">
        <v>22670</v>
      </c>
      <c r="DX87" s="35">
        <v>750</v>
      </c>
      <c r="DY87" s="35">
        <v>680</v>
      </c>
      <c r="DZ87" s="35"/>
      <c r="EA87" s="35"/>
      <c r="EB87" s="35"/>
      <c r="EC87" s="35"/>
      <c r="ED87" s="35"/>
      <c r="EE87" s="35"/>
      <c r="EF87" s="35">
        <f t="shared" si="331"/>
        <v>24100</v>
      </c>
      <c r="EG87" s="35"/>
      <c r="EH87" s="35"/>
      <c r="EI87" s="35"/>
      <c r="EJ87" s="35">
        <v>22670</v>
      </c>
      <c r="EK87" s="35">
        <v>750</v>
      </c>
      <c r="EL87" s="35">
        <v>680</v>
      </c>
      <c r="EM87" s="35"/>
      <c r="EN87" s="35"/>
      <c r="EO87" s="35"/>
      <c r="EP87" s="35"/>
      <c r="EQ87" s="35"/>
      <c r="ER87" s="35"/>
      <c r="ES87" s="35">
        <f t="shared" si="324"/>
        <v>24100</v>
      </c>
      <c r="ET87" s="35"/>
      <c r="EU87" s="35"/>
      <c r="EV87" s="35"/>
      <c r="EW87" s="35">
        <v>22670</v>
      </c>
      <c r="EX87" s="35">
        <v>750</v>
      </c>
      <c r="EY87" s="35">
        <v>680</v>
      </c>
      <c r="EZ87" s="35"/>
      <c r="FA87" s="35"/>
      <c r="FB87" s="35"/>
      <c r="FC87" s="35"/>
      <c r="FD87" s="35"/>
      <c r="FE87" s="35"/>
      <c r="FF87" s="35">
        <f t="shared" si="332"/>
        <v>24100</v>
      </c>
      <c r="FG87" s="35">
        <f t="shared" si="333"/>
        <v>72300</v>
      </c>
      <c r="FH87" s="35">
        <f t="shared" si="334"/>
        <v>286173</v>
      </c>
    </row>
    <row r="88" spans="1:164" x14ac:dyDescent="0.35">
      <c r="A88" s="34"/>
      <c r="B88" s="40"/>
      <c r="C88" s="41" t="s">
        <v>186</v>
      </c>
      <c r="D88" s="35"/>
      <c r="E88" s="35"/>
      <c r="F88" s="35"/>
      <c r="G88" s="35">
        <v>18900</v>
      </c>
      <c r="H88" s="35">
        <v>750</v>
      </c>
      <c r="I88" s="35">
        <v>567</v>
      </c>
      <c r="J88" s="35"/>
      <c r="K88" s="35"/>
      <c r="L88" s="35"/>
      <c r="M88" s="35"/>
      <c r="N88" s="35"/>
      <c r="O88" s="35"/>
      <c r="P88" s="35">
        <f>SUM(D88:O88)</f>
        <v>20217</v>
      </c>
      <c r="Q88" s="35"/>
      <c r="R88" s="35"/>
      <c r="S88" s="35"/>
      <c r="T88" s="35">
        <v>18900</v>
      </c>
      <c r="U88" s="35">
        <v>750</v>
      </c>
      <c r="V88" s="35">
        <v>567</v>
      </c>
      <c r="W88" s="35"/>
      <c r="X88" s="35"/>
      <c r="Y88" s="35"/>
      <c r="Z88" s="35"/>
      <c r="AA88" s="35"/>
      <c r="AB88" s="35"/>
      <c r="AC88" s="35">
        <f t="shared" si="318"/>
        <v>20217</v>
      </c>
      <c r="AD88" s="35"/>
      <c r="AE88" s="35"/>
      <c r="AF88" s="35"/>
      <c r="AG88" s="35">
        <v>18900</v>
      </c>
      <c r="AH88" s="35">
        <v>750</v>
      </c>
      <c r="AI88" s="35">
        <v>567</v>
      </c>
      <c r="AJ88" s="35"/>
      <c r="AK88" s="35"/>
      <c r="AL88" s="35"/>
      <c r="AM88" s="35"/>
      <c r="AN88" s="35"/>
      <c r="AO88" s="35"/>
      <c r="AP88" s="35">
        <f t="shared" si="319"/>
        <v>20217</v>
      </c>
      <c r="AQ88" s="35">
        <f t="shared" si="320"/>
        <v>60651</v>
      </c>
      <c r="AR88" s="35"/>
      <c r="AS88" s="35"/>
      <c r="AT88" s="35"/>
      <c r="AU88" s="35">
        <v>18900</v>
      </c>
      <c r="AV88" s="35">
        <v>750</v>
      </c>
      <c r="AW88" s="35">
        <v>567</v>
      </c>
      <c r="AX88" s="35"/>
      <c r="AY88" s="35"/>
      <c r="AZ88" s="35"/>
      <c r="BA88" s="35"/>
      <c r="BB88" s="35"/>
      <c r="BC88" s="35"/>
      <c r="BD88" s="35">
        <f t="shared" si="326"/>
        <v>20217</v>
      </c>
      <c r="BE88" s="35"/>
      <c r="BF88" s="35"/>
      <c r="BG88" s="35"/>
      <c r="BH88" s="35">
        <v>18900</v>
      </c>
      <c r="BI88" s="35">
        <v>750</v>
      </c>
      <c r="BJ88" s="35">
        <v>567</v>
      </c>
      <c r="BK88" s="35"/>
      <c r="BL88" s="35"/>
      <c r="BM88" s="35"/>
      <c r="BN88" s="35"/>
      <c r="BO88" s="35"/>
      <c r="BP88" s="35"/>
      <c r="BQ88" s="35">
        <f t="shared" si="321"/>
        <v>20217</v>
      </c>
      <c r="BR88" s="35"/>
      <c r="BS88" s="35"/>
      <c r="BT88" s="35"/>
      <c r="BU88" s="35">
        <v>18900</v>
      </c>
      <c r="BV88" s="35">
        <v>750</v>
      </c>
      <c r="BW88" s="35">
        <v>567</v>
      </c>
      <c r="BX88" s="35"/>
      <c r="BY88" s="35"/>
      <c r="BZ88" s="35"/>
      <c r="CA88" s="35"/>
      <c r="CB88" s="35"/>
      <c r="CC88" s="35"/>
      <c r="CD88" s="35">
        <f t="shared" si="322"/>
        <v>20217</v>
      </c>
      <c r="CE88" s="35">
        <f t="shared" si="327"/>
        <v>60651</v>
      </c>
      <c r="CF88" s="35"/>
      <c r="CG88" s="35"/>
      <c r="CH88" s="35"/>
      <c r="CI88" s="35">
        <f>19850+(950*6)</f>
        <v>25550</v>
      </c>
      <c r="CJ88" s="35">
        <v>750</v>
      </c>
      <c r="CK88" s="35">
        <f>596+(29*6)</f>
        <v>770</v>
      </c>
      <c r="CL88" s="35"/>
      <c r="CM88" s="35"/>
      <c r="CN88" s="35"/>
      <c r="CO88" s="35"/>
      <c r="CP88" s="35"/>
      <c r="CQ88" s="35"/>
      <c r="CR88" s="35">
        <f t="shared" si="328"/>
        <v>27070</v>
      </c>
      <c r="CS88" s="35"/>
      <c r="CT88" s="35"/>
      <c r="CU88" s="35"/>
      <c r="CV88" s="35">
        <f>19850+630*6</f>
        <v>23630</v>
      </c>
      <c r="CW88" s="35">
        <v>750</v>
      </c>
      <c r="CX88" s="35">
        <f>596+19*6</f>
        <v>710</v>
      </c>
      <c r="CY88" s="35"/>
      <c r="CZ88" s="35"/>
      <c r="DA88" s="35"/>
      <c r="DB88" s="35"/>
      <c r="DC88" s="35"/>
      <c r="DD88" s="35"/>
      <c r="DE88" s="35">
        <f t="shared" si="323"/>
        <v>25090</v>
      </c>
      <c r="DF88" s="35"/>
      <c r="DG88" s="35"/>
      <c r="DH88" s="35"/>
      <c r="DI88" s="35">
        <v>19850</v>
      </c>
      <c r="DJ88" s="35">
        <v>750</v>
      </c>
      <c r="DK88" s="35">
        <v>596</v>
      </c>
      <c r="DL88" s="35"/>
      <c r="DM88" s="35"/>
      <c r="DN88" s="35"/>
      <c r="DO88" s="35"/>
      <c r="DP88" s="35"/>
      <c r="DQ88" s="35"/>
      <c r="DR88" s="35">
        <f t="shared" si="329"/>
        <v>21196</v>
      </c>
      <c r="DS88" s="35">
        <f t="shared" si="330"/>
        <v>73356</v>
      </c>
      <c r="DT88" s="35"/>
      <c r="DU88" s="35"/>
      <c r="DV88" s="35"/>
      <c r="DW88" s="35">
        <v>20480</v>
      </c>
      <c r="DX88" s="35">
        <v>750</v>
      </c>
      <c r="DY88" s="35">
        <v>614</v>
      </c>
      <c r="DZ88" s="35"/>
      <c r="EA88" s="35"/>
      <c r="EB88" s="35"/>
      <c r="EC88" s="35"/>
      <c r="ED88" s="35"/>
      <c r="EE88" s="35"/>
      <c r="EF88" s="35">
        <f t="shared" si="331"/>
        <v>21844</v>
      </c>
      <c r="EG88" s="35"/>
      <c r="EH88" s="35"/>
      <c r="EI88" s="35"/>
      <c r="EJ88" s="35">
        <v>20480</v>
      </c>
      <c r="EK88" s="35">
        <v>750</v>
      </c>
      <c r="EL88" s="35">
        <v>614</v>
      </c>
      <c r="EM88" s="35"/>
      <c r="EN88" s="35"/>
      <c r="EO88" s="35"/>
      <c r="EP88" s="35"/>
      <c r="EQ88" s="35"/>
      <c r="ER88" s="35"/>
      <c r="ES88" s="35">
        <f t="shared" si="324"/>
        <v>21844</v>
      </c>
      <c r="ET88" s="35"/>
      <c r="EU88" s="35"/>
      <c r="EV88" s="35"/>
      <c r="EW88" s="35">
        <v>20480</v>
      </c>
      <c r="EX88" s="35">
        <v>750</v>
      </c>
      <c r="EY88" s="35">
        <v>614</v>
      </c>
      <c r="EZ88" s="35"/>
      <c r="FA88" s="35"/>
      <c r="FB88" s="35"/>
      <c r="FC88" s="35"/>
      <c r="FD88" s="35"/>
      <c r="FE88" s="35"/>
      <c r="FF88" s="35">
        <f t="shared" si="332"/>
        <v>21844</v>
      </c>
      <c r="FG88" s="35">
        <f t="shared" si="333"/>
        <v>65532</v>
      </c>
      <c r="FH88" s="35">
        <f t="shared" si="334"/>
        <v>260190</v>
      </c>
    </row>
    <row r="89" spans="1:164" x14ac:dyDescent="0.35">
      <c r="A89" s="34"/>
      <c r="B89" s="40"/>
      <c r="C89" s="41" t="s">
        <v>283</v>
      </c>
      <c r="D89" s="35"/>
      <c r="E89" s="35"/>
      <c r="F89" s="35"/>
      <c r="G89" s="35">
        <v>18000</v>
      </c>
      <c r="H89" s="35">
        <v>750</v>
      </c>
      <c r="I89" s="35">
        <v>0</v>
      </c>
      <c r="J89" s="35"/>
      <c r="K89" s="35"/>
      <c r="L89" s="35"/>
      <c r="M89" s="35"/>
      <c r="N89" s="35"/>
      <c r="O89" s="35"/>
      <c r="P89" s="35">
        <f>SUM(D89:O89)</f>
        <v>18750</v>
      </c>
      <c r="Q89" s="35"/>
      <c r="R89" s="35"/>
      <c r="S89" s="35"/>
      <c r="T89" s="35">
        <v>18000</v>
      </c>
      <c r="U89" s="35">
        <v>750</v>
      </c>
      <c r="V89" s="35">
        <v>540</v>
      </c>
      <c r="W89" s="35"/>
      <c r="X89" s="35"/>
      <c r="Y89" s="35"/>
      <c r="Z89" s="35"/>
      <c r="AA89" s="35"/>
      <c r="AB89" s="35"/>
      <c r="AC89" s="35">
        <f t="shared" ref="AC89" si="352">SUM(Q89:AB89)</f>
        <v>19290</v>
      </c>
      <c r="AD89" s="35"/>
      <c r="AE89" s="35"/>
      <c r="AF89" s="35"/>
      <c r="AG89" s="35">
        <v>18000</v>
      </c>
      <c r="AH89" s="35">
        <v>750</v>
      </c>
      <c r="AI89" s="35">
        <v>540</v>
      </c>
      <c r="AJ89" s="35"/>
      <c r="AK89" s="35"/>
      <c r="AL89" s="35"/>
      <c r="AM89" s="35"/>
      <c r="AN89" s="35"/>
      <c r="AO89" s="35"/>
      <c r="AP89" s="35">
        <f t="shared" ref="AP89" si="353">SUM(AD89:AO89)</f>
        <v>19290</v>
      </c>
      <c r="AQ89" s="35">
        <f t="shared" ref="AQ89" si="354">+P89+AC89+AP89</f>
        <v>57330</v>
      </c>
      <c r="AR89" s="35"/>
      <c r="AS89" s="35"/>
      <c r="AT89" s="35"/>
      <c r="AU89" s="35">
        <v>18000</v>
      </c>
      <c r="AV89" s="35">
        <v>750</v>
      </c>
      <c r="AW89" s="35">
        <v>0</v>
      </c>
      <c r="AX89" s="35"/>
      <c r="AY89" s="35"/>
      <c r="AZ89" s="35"/>
      <c r="BA89" s="35"/>
      <c r="BB89" s="35"/>
      <c r="BC89" s="35"/>
      <c r="BD89" s="35">
        <f t="shared" ref="BD89" si="355">SUM(AR89:BC89)</f>
        <v>18750</v>
      </c>
      <c r="BE89" s="35"/>
      <c r="BF89" s="35"/>
      <c r="BG89" s="35"/>
      <c r="BH89" s="35">
        <v>18000</v>
      </c>
      <c r="BI89" s="35">
        <v>750</v>
      </c>
      <c r="BJ89" s="35">
        <v>540</v>
      </c>
      <c r="BK89" s="35"/>
      <c r="BL89" s="35"/>
      <c r="BM89" s="35"/>
      <c r="BN89" s="35"/>
      <c r="BO89" s="35"/>
      <c r="BP89" s="35"/>
      <c r="BQ89" s="35">
        <f t="shared" ref="BQ89" si="356">SUM(BE89:BP89)</f>
        <v>19290</v>
      </c>
      <c r="BR89" s="35"/>
      <c r="BS89" s="35"/>
      <c r="BT89" s="35"/>
      <c r="BU89" s="35">
        <v>18000</v>
      </c>
      <c r="BV89" s="35">
        <v>750</v>
      </c>
      <c r="BW89" s="35">
        <v>540</v>
      </c>
      <c r="BX89" s="35"/>
      <c r="BY89" s="35"/>
      <c r="BZ89" s="35"/>
      <c r="CA89" s="35"/>
      <c r="CB89" s="35"/>
      <c r="CC89" s="35"/>
      <c r="CD89" s="35">
        <f t="shared" ref="CD89" si="357">SUM(BR89:CC89)</f>
        <v>19290</v>
      </c>
      <c r="CE89" s="35">
        <f t="shared" ref="CE89" si="358">+BD89+BQ89+CD89</f>
        <v>57330</v>
      </c>
      <c r="CF89" s="35"/>
      <c r="CG89" s="35"/>
      <c r="CH89" s="35"/>
      <c r="CI89" s="35">
        <v>18000</v>
      </c>
      <c r="CJ89" s="35">
        <v>750</v>
      </c>
      <c r="CK89" s="35">
        <v>540</v>
      </c>
      <c r="CL89" s="35"/>
      <c r="CM89" s="35"/>
      <c r="CN89" s="35"/>
      <c r="CO89" s="35"/>
      <c r="CP89" s="35"/>
      <c r="CQ89" s="35"/>
      <c r="CR89" s="35">
        <f t="shared" ref="CR89" si="359">SUM(CF89:CQ89)</f>
        <v>19290</v>
      </c>
      <c r="CS89" s="35"/>
      <c r="CT89" s="35"/>
      <c r="CU89" s="35"/>
      <c r="CV89" s="35">
        <f>18000+9000+230*6</f>
        <v>28380</v>
      </c>
      <c r="CW89" s="35">
        <v>750</v>
      </c>
      <c r="CX89" s="35">
        <f>540+270+7*6</f>
        <v>852</v>
      </c>
      <c r="CY89" s="35"/>
      <c r="CZ89" s="35"/>
      <c r="DA89" s="35"/>
      <c r="DB89" s="35"/>
      <c r="DC89" s="35"/>
      <c r="DD89" s="35"/>
      <c r="DE89" s="35">
        <f t="shared" ref="DE89" si="360">SUM(CS89:DD89)</f>
        <v>29982</v>
      </c>
      <c r="DF89" s="35"/>
      <c r="DG89" s="35"/>
      <c r="DH89" s="35"/>
      <c r="DI89" s="35">
        <v>18000</v>
      </c>
      <c r="DJ89" s="35">
        <v>750</v>
      </c>
      <c r="DK89" s="35">
        <v>540</v>
      </c>
      <c r="DL89" s="35"/>
      <c r="DM89" s="35"/>
      <c r="DN89" s="35"/>
      <c r="DO89" s="35"/>
      <c r="DP89" s="35"/>
      <c r="DQ89" s="35"/>
      <c r="DR89" s="35">
        <f t="shared" ref="DR89" si="361">SUM(DF89:DQ89)</f>
        <v>19290</v>
      </c>
      <c r="DS89" s="35">
        <f t="shared" ref="DS89" si="362">+CR89+DE89+DR89</f>
        <v>68562</v>
      </c>
      <c r="DT89" s="35"/>
      <c r="DU89" s="35"/>
      <c r="DV89" s="35"/>
      <c r="DW89" s="35">
        <v>19730</v>
      </c>
      <c r="DX89" s="35">
        <v>750</v>
      </c>
      <c r="DY89" s="35">
        <v>592</v>
      </c>
      <c r="DZ89" s="35"/>
      <c r="EA89" s="35"/>
      <c r="EB89" s="35"/>
      <c r="EC89" s="35"/>
      <c r="ED89" s="35"/>
      <c r="EE89" s="35"/>
      <c r="EF89" s="35">
        <f t="shared" ref="EF89" si="363">SUM(DT89:EE89)</f>
        <v>21072</v>
      </c>
      <c r="EG89" s="35"/>
      <c r="EH89" s="35"/>
      <c r="EI89" s="35"/>
      <c r="EJ89" s="35">
        <v>19730</v>
      </c>
      <c r="EK89" s="35">
        <v>750</v>
      </c>
      <c r="EL89" s="35">
        <v>592</v>
      </c>
      <c r="EM89" s="35"/>
      <c r="EN89" s="35"/>
      <c r="EO89" s="35"/>
      <c r="EP89" s="35"/>
      <c r="EQ89" s="35"/>
      <c r="ER89" s="35"/>
      <c r="ES89" s="35">
        <f t="shared" ref="ES89" si="364">SUM(EG89:ER89)</f>
        <v>21072</v>
      </c>
      <c r="ET89" s="35"/>
      <c r="EU89" s="35"/>
      <c r="EV89" s="35"/>
      <c r="EW89" s="35">
        <v>19730</v>
      </c>
      <c r="EX89" s="35">
        <v>750</v>
      </c>
      <c r="EY89" s="35">
        <v>592</v>
      </c>
      <c r="EZ89" s="35"/>
      <c r="FA89" s="35"/>
      <c r="FB89" s="35"/>
      <c r="FC89" s="35"/>
      <c r="FD89" s="35"/>
      <c r="FE89" s="35"/>
      <c r="FF89" s="35">
        <f t="shared" ref="FF89" si="365">SUM(ET89:FE89)</f>
        <v>21072</v>
      </c>
      <c r="FG89" s="35">
        <f t="shared" ref="FG89" si="366">+EF89+ES89+FF89</f>
        <v>63216</v>
      </c>
      <c r="FH89" s="35">
        <f t="shared" ref="FH89" si="367">+AQ89+CE89+DS89+FG89</f>
        <v>246438</v>
      </c>
    </row>
    <row r="90" spans="1:164" x14ac:dyDescent="0.35">
      <c r="A90" s="34"/>
      <c r="B90" s="40"/>
      <c r="C90" s="41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>
        <f t="shared" si="325"/>
        <v>0</v>
      </c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>
        <f t="shared" si="318"/>
        <v>0</v>
      </c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>
        <f t="shared" si="319"/>
        <v>0</v>
      </c>
      <c r="AQ90" s="35">
        <f t="shared" si="320"/>
        <v>0</v>
      </c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>
        <f t="shared" si="326"/>
        <v>0</v>
      </c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>
        <f t="shared" si="321"/>
        <v>0</v>
      </c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>
        <f t="shared" si="322"/>
        <v>0</v>
      </c>
      <c r="CE90" s="35">
        <f t="shared" si="327"/>
        <v>0</v>
      </c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>
        <f t="shared" si="328"/>
        <v>0</v>
      </c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>
        <f t="shared" si="323"/>
        <v>0</v>
      </c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>
        <f t="shared" si="329"/>
        <v>0</v>
      </c>
      <c r="DS90" s="35">
        <f t="shared" si="330"/>
        <v>0</v>
      </c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>
        <f t="shared" si="331"/>
        <v>0</v>
      </c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>
        <f t="shared" si="324"/>
        <v>0</v>
      </c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>
        <f t="shared" si="332"/>
        <v>0</v>
      </c>
      <c r="FG90" s="35">
        <f t="shared" si="333"/>
        <v>0</v>
      </c>
      <c r="FH90" s="35">
        <f t="shared" si="334"/>
        <v>0</v>
      </c>
    </row>
    <row r="91" spans="1:164" x14ac:dyDescent="0.35">
      <c r="A91" s="48"/>
      <c r="B91" s="49" t="s">
        <v>118</v>
      </c>
      <c r="C91" s="50"/>
      <c r="D91" s="51">
        <f>SUM(D71:D90)</f>
        <v>0</v>
      </c>
      <c r="E91" s="51">
        <f t="shared" ref="E91:O91" si="368">SUM(E71:E90)</f>
        <v>0</v>
      </c>
      <c r="F91" s="51">
        <f t="shared" si="368"/>
        <v>0</v>
      </c>
      <c r="G91" s="51">
        <f t="shared" si="368"/>
        <v>386160</v>
      </c>
      <c r="H91" s="51">
        <f t="shared" si="368"/>
        <v>13500</v>
      </c>
      <c r="I91" s="51">
        <f t="shared" si="368"/>
        <v>11047</v>
      </c>
      <c r="J91" s="51">
        <f t="shared" si="368"/>
        <v>0</v>
      </c>
      <c r="K91" s="51">
        <f t="shared" si="368"/>
        <v>0</v>
      </c>
      <c r="L91" s="51">
        <f t="shared" si="368"/>
        <v>0</v>
      </c>
      <c r="M91" s="51">
        <f t="shared" si="368"/>
        <v>0</v>
      </c>
      <c r="N91" s="51">
        <f t="shared" si="368"/>
        <v>0</v>
      </c>
      <c r="O91" s="51">
        <f t="shared" si="368"/>
        <v>0</v>
      </c>
      <c r="P91" s="51">
        <f t="shared" si="325"/>
        <v>410707</v>
      </c>
      <c r="Q91" s="51">
        <f>SUM(Q71:Q90)</f>
        <v>0</v>
      </c>
      <c r="R91" s="51">
        <f t="shared" ref="R91" si="369">SUM(R71:R90)</f>
        <v>0</v>
      </c>
      <c r="S91" s="51">
        <f t="shared" ref="S91" si="370">SUM(S71:S90)</f>
        <v>0</v>
      </c>
      <c r="T91" s="51">
        <f t="shared" ref="T91" si="371">SUM(T71:T90)</f>
        <v>386160</v>
      </c>
      <c r="U91" s="51">
        <f t="shared" ref="U91" si="372">SUM(U71:U90)</f>
        <v>13500</v>
      </c>
      <c r="V91" s="51">
        <f t="shared" ref="V91" si="373">SUM(V71:V90)</f>
        <v>11587</v>
      </c>
      <c r="W91" s="51">
        <f t="shared" ref="W91" si="374">SUM(W71:W90)</f>
        <v>0</v>
      </c>
      <c r="X91" s="51">
        <f t="shared" ref="X91" si="375">SUM(X71:X90)</f>
        <v>0</v>
      </c>
      <c r="Y91" s="51">
        <f t="shared" ref="Y91" si="376">SUM(Y71:Y90)</f>
        <v>0</v>
      </c>
      <c r="Z91" s="51">
        <f t="shared" ref="Z91" si="377">SUM(Z71:Z90)</f>
        <v>0</v>
      </c>
      <c r="AA91" s="51">
        <f t="shared" ref="AA91" si="378">SUM(AA71:AA90)</f>
        <v>0</v>
      </c>
      <c r="AB91" s="51">
        <f t="shared" ref="AB91" si="379">SUM(AB71:AB90)</f>
        <v>0</v>
      </c>
      <c r="AC91" s="51">
        <f t="shared" si="318"/>
        <v>411247</v>
      </c>
      <c r="AD91" s="51">
        <f>SUM(AD71:AD90)</f>
        <v>0</v>
      </c>
      <c r="AE91" s="51">
        <f t="shared" ref="AE91" si="380">SUM(AE71:AE90)</f>
        <v>0</v>
      </c>
      <c r="AF91" s="51">
        <f t="shared" ref="AF91" si="381">SUM(AF71:AF90)</f>
        <v>0</v>
      </c>
      <c r="AG91" s="51">
        <f t="shared" ref="AG91" si="382">SUM(AG71:AG90)</f>
        <v>386160</v>
      </c>
      <c r="AH91" s="51">
        <f t="shared" ref="AH91" si="383">SUM(AH71:AH90)</f>
        <v>13500</v>
      </c>
      <c r="AI91" s="51">
        <f t="shared" ref="AI91" si="384">SUM(AI71:AI90)</f>
        <v>11587</v>
      </c>
      <c r="AJ91" s="51">
        <f t="shared" ref="AJ91" si="385">SUM(AJ71:AJ90)</f>
        <v>0</v>
      </c>
      <c r="AK91" s="51">
        <f t="shared" ref="AK91" si="386">SUM(AK71:AK90)</f>
        <v>0</v>
      </c>
      <c r="AL91" s="51">
        <f t="shared" ref="AL91" si="387">SUM(AL71:AL90)</f>
        <v>0</v>
      </c>
      <c r="AM91" s="51">
        <f t="shared" ref="AM91" si="388">SUM(AM71:AM90)</f>
        <v>0</v>
      </c>
      <c r="AN91" s="51">
        <f t="shared" ref="AN91" si="389">SUM(AN71:AN90)</f>
        <v>0</v>
      </c>
      <c r="AO91" s="51">
        <f t="shared" ref="AO91" si="390">SUM(AO71:AO90)</f>
        <v>0</v>
      </c>
      <c r="AP91" s="51">
        <f t="shared" si="319"/>
        <v>411247</v>
      </c>
      <c r="AQ91" s="51">
        <f t="shared" si="320"/>
        <v>1233201</v>
      </c>
      <c r="AR91" s="51">
        <f>SUM(AR71:AR90)</f>
        <v>0</v>
      </c>
      <c r="AS91" s="51">
        <f t="shared" ref="AS91" si="391">SUM(AS71:AS90)</f>
        <v>0</v>
      </c>
      <c r="AT91" s="51">
        <f t="shared" ref="AT91" si="392">SUM(AT71:AT90)</f>
        <v>0</v>
      </c>
      <c r="AU91" s="51">
        <f t="shared" ref="AU91" si="393">SUM(AU71:AU90)</f>
        <v>386160</v>
      </c>
      <c r="AV91" s="51">
        <f t="shared" ref="AV91" si="394">SUM(AV71:AV90)</f>
        <v>13500</v>
      </c>
      <c r="AW91" s="51">
        <f t="shared" ref="AW91" si="395">SUM(AW71:AW90)</f>
        <v>11047</v>
      </c>
      <c r="AX91" s="51">
        <f t="shared" ref="AX91" si="396">SUM(AX71:AX90)</f>
        <v>0</v>
      </c>
      <c r="AY91" s="51">
        <f t="shared" ref="AY91" si="397">SUM(AY71:AY90)</f>
        <v>0</v>
      </c>
      <c r="AZ91" s="51">
        <f t="shared" ref="AZ91" si="398">SUM(AZ71:AZ90)</f>
        <v>0</v>
      </c>
      <c r="BA91" s="51">
        <f t="shared" ref="BA91" si="399">SUM(BA71:BA90)</f>
        <v>0</v>
      </c>
      <c r="BB91" s="51">
        <f t="shared" ref="BB91" si="400">SUM(BB71:BB90)</f>
        <v>0</v>
      </c>
      <c r="BC91" s="51">
        <f t="shared" ref="BC91" si="401">SUM(BC71:BC90)</f>
        <v>0</v>
      </c>
      <c r="BD91" s="51">
        <f t="shared" si="326"/>
        <v>410707</v>
      </c>
      <c r="BE91" s="51">
        <f>SUM(BE71:BE90)</f>
        <v>0</v>
      </c>
      <c r="BF91" s="51">
        <f t="shared" ref="BF91" si="402">SUM(BF71:BF90)</f>
        <v>0</v>
      </c>
      <c r="BG91" s="51">
        <f t="shared" ref="BG91" si="403">SUM(BG71:BG90)</f>
        <v>0</v>
      </c>
      <c r="BH91" s="51">
        <f t="shared" ref="BH91" si="404">SUM(BH71:BH90)</f>
        <v>386160</v>
      </c>
      <c r="BI91" s="51">
        <f t="shared" ref="BI91" si="405">SUM(BI71:BI90)</f>
        <v>13500</v>
      </c>
      <c r="BJ91" s="51">
        <f t="shared" ref="BJ91" si="406">SUM(BJ71:BJ90)</f>
        <v>11587</v>
      </c>
      <c r="BK91" s="51">
        <f t="shared" ref="BK91" si="407">SUM(BK71:BK90)</f>
        <v>0</v>
      </c>
      <c r="BL91" s="51">
        <f t="shared" ref="BL91" si="408">SUM(BL71:BL90)</f>
        <v>0</v>
      </c>
      <c r="BM91" s="51">
        <f t="shared" ref="BM91" si="409">SUM(BM71:BM90)</f>
        <v>0</v>
      </c>
      <c r="BN91" s="51">
        <f t="shared" ref="BN91" si="410">SUM(BN71:BN90)</f>
        <v>0</v>
      </c>
      <c r="BO91" s="51">
        <f t="shared" ref="BO91" si="411">SUM(BO71:BO90)</f>
        <v>0</v>
      </c>
      <c r="BP91" s="51">
        <f t="shared" ref="BP91" si="412">SUM(BP71:BP90)</f>
        <v>0</v>
      </c>
      <c r="BQ91" s="51">
        <f t="shared" si="321"/>
        <v>411247</v>
      </c>
      <c r="BR91" s="51">
        <f>SUM(BR71:BR90)</f>
        <v>0</v>
      </c>
      <c r="BS91" s="51">
        <f t="shared" ref="BS91" si="413">SUM(BS71:BS90)</f>
        <v>0</v>
      </c>
      <c r="BT91" s="51">
        <f t="shared" ref="BT91" si="414">SUM(BT71:BT90)</f>
        <v>0</v>
      </c>
      <c r="BU91" s="51">
        <f t="shared" ref="BU91" si="415">SUM(BU71:BU90)</f>
        <v>386160</v>
      </c>
      <c r="BV91" s="51">
        <f t="shared" ref="BV91" si="416">SUM(BV71:BV90)</f>
        <v>13500</v>
      </c>
      <c r="BW91" s="51">
        <f t="shared" ref="BW91" si="417">SUM(BW71:BW90)</f>
        <v>11587</v>
      </c>
      <c r="BX91" s="51">
        <f t="shared" ref="BX91" si="418">SUM(BX71:BX90)</f>
        <v>0</v>
      </c>
      <c r="BY91" s="51">
        <f t="shared" ref="BY91" si="419">SUM(BY71:BY90)</f>
        <v>0</v>
      </c>
      <c r="BZ91" s="51">
        <f t="shared" ref="BZ91" si="420">SUM(BZ71:BZ90)</f>
        <v>0</v>
      </c>
      <c r="CA91" s="51">
        <f t="shared" ref="CA91" si="421">SUM(CA71:CA90)</f>
        <v>0</v>
      </c>
      <c r="CB91" s="51">
        <f t="shared" ref="CB91" si="422">SUM(CB71:CB90)</f>
        <v>0</v>
      </c>
      <c r="CC91" s="51">
        <f t="shared" ref="CC91" si="423">SUM(CC71:CC90)</f>
        <v>0</v>
      </c>
      <c r="CD91" s="51">
        <f t="shared" si="322"/>
        <v>411247</v>
      </c>
      <c r="CE91" s="51">
        <f t="shared" si="327"/>
        <v>1233201</v>
      </c>
      <c r="CF91" s="51">
        <f>SUM(CF71:CF90)</f>
        <v>0</v>
      </c>
      <c r="CG91" s="51">
        <f t="shared" ref="CG91" si="424">SUM(CG71:CG90)</f>
        <v>0</v>
      </c>
      <c r="CH91" s="51">
        <f t="shared" ref="CH91" si="425">SUM(CH71:CH90)</f>
        <v>0</v>
      </c>
      <c r="CI91" s="51">
        <f t="shared" ref="CI91" si="426">SUM(CI71:CI90)</f>
        <v>515450</v>
      </c>
      <c r="CJ91" s="51">
        <f t="shared" ref="CJ91" si="427">SUM(CJ71:CJ90)</f>
        <v>13500</v>
      </c>
      <c r="CK91" s="51">
        <f t="shared" ref="CK91" si="428">SUM(CK71:CK90)</f>
        <v>15453</v>
      </c>
      <c r="CL91" s="51">
        <f t="shared" ref="CL91" si="429">SUM(CL71:CL90)</f>
        <v>0</v>
      </c>
      <c r="CM91" s="51">
        <f t="shared" ref="CM91" si="430">SUM(CM71:CM90)</f>
        <v>0</v>
      </c>
      <c r="CN91" s="51">
        <f t="shared" ref="CN91" si="431">SUM(CN71:CN90)</f>
        <v>0</v>
      </c>
      <c r="CO91" s="51">
        <f t="shared" ref="CO91" si="432">SUM(CO71:CO90)</f>
        <v>0</v>
      </c>
      <c r="CP91" s="51">
        <f t="shared" ref="CP91" si="433">SUM(CP71:CP90)</f>
        <v>0</v>
      </c>
      <c r="CQ91" s="51">
        <f t="shared" ref="CQ91" si="434">SUM(CQ71:CQ90)</f>
        <v>0</v>
      </c>
      <c r="CR91" s="51">
        <f t="shared" si="328"/>
        <v>544403</v>
      </c>
      <c r="CS91" s="51">
        <f>SUM(CS71:CS90)</f>
        <v>0</v>
      </c>
      <c r="CT91" s="51">
        <f t="shared" ref="CT91" si="435">SUM(CT71:CT90)</f>
        <v>0</v>
      </c>
      <c r="CU91" s="51">
        <f t="shared" ref="CU91" si="436">SUM(CU71:CU90)</f>
        <v>0</v>
      </c>
      <c r="CV91" s="51">
        <f t="shared" ref="CV91" si="437">SUM(CV71:CV90)</f>
        <v>531350</v>
      </c>
      <c r="CW91" s="51">
        <f t="shared" ref="CW91" si="438">SUM(CW71:CW90)</f>
        <v>13500</v>
      </c>
      <c r="CX91" s="51">
        <f t="shared" ref="CX91" si="439">SUM(CX71:CX90)</f>
        <v>15933</v>
      </c>
      <c r="CY91" s="51">
        <f t="shared" ref="CY91" si="440">SUM(CY71:CY90)</f>
        <v>0</v>
      </c>
      <c r="CZ91" s="51">
        <f t="shared" ref="CZ91" si="441">SUM(CZ71:CZ90)</f>
        <v>0</v>
      </c>
      <c r="DA91" s="51">
        <f t="shared" ref="DA91" si="442">SUM(DA71:DA90)</f>
        <v>0</v>
      </c>
      <c r="DB91" s="51">
        <f t="shared" ref="DB91" si="443">SUM(DB71:DB90)</f>
        <v>0</v>
      </c>
      <c r="DC91" s="51">
        <f t="shared" ref="DC91" si="444">SUM(DC71:DC90)</f>
        <v>0</v>
      </c>
      <c r="DD91" s="51">
        <f t="shared" ref="DD91" si="445">SUM(DD71:DD90)</f>
        <v>0</v>
      </c>
      <c r="DE91" s="51">
        <f t="shared" si="323"/>
        <v>560783</v>
      </c>
      <c r="DF91" s="51">
        <f>SUM(DF71:DF90)</f>
        <v>0</v>
      </c>
      <c r="DG91" s="51">
        <f t="shared" ref="DG91" si="446">SUM(DG71:DG90)</f>
        <v>0</v>
      </c>
      <c r="DH91" s="51">
        <f t="shared" ref="DH91" si="447">SUM(DH71:DH90)</f>
        <v>0</v>
      </c>
      <c r="DI91" s="51">
        <f t="shared" ref="DI91" si="448">SUM(DI71:DI90)</f>
        <v>404630</v>
      </c>
      <c r="DJ91" s="51">
        <f t="shared" ref="DJ91" si="449">SUM(DJ71:DJ90)</f>
        <v>13500</v>
      </c>
      <c r="DK91" s="51">
        <f t="shared" ref="DK91" si="450">SUM(DK71:DK90)</f>
        <v>12135</v>
      </c>
      <c r="DL91" s="51">
        <f t="shared" ref="DL91" si="451">SUM(DL71:DL90)</f>
        <v>0</v>
      </c>
      <c r="DM91" s="51">
        <f t="shared" ref="DM91" si="452">SUM(DM71:DM90)</f>
        <v>0</v>
      </c>
      <c r="DN91" s="51">
        <f t="shared" ref="DN91" si="453">SUM(DN71:DN90)</f>
        <v>0</v>
      </c>
      <c r="DO91" s="51">
        <f t="shared" ref="DO91" si="454">SUM(DO71:DO90)</f>
        <v>0</v>
      </c>
      <c r="DP91" s="51">
        <f t="shared" ref="DP91" si="455">SUM(DP71:DP90)</f>
        <v>0</v>
      </c>
      <c r="DQ91" s="51">
        <f t="shared" ref="DQ91" si="456">SUM(DQ71:DQ90)</f>
        <v>0</v>
      </c>
      <c r="DR91" s="51">
        <f t="shared" si="329"/>
        <v>430265</v>
      </c>
      <c r="DS91" s="51">
        <f t="shared" si="330"/>
        <v>1535451</v>
      </c>
      <c r="DT91" s="51">
        <f>SUM(DT71:DT90)</f>
        <v>0</v>
      </c>
      <c r="DU91" s="51">
        <f t="shared" ref="DU91" si="457">SUM(DU71:DU90)</f>
        <v>0</v>
      </c>
      <c r="DV91" s="51">
        <f t="shared" ref="DV91" si="458">SUM(DV71:DV90)</f>
        <v>0</v>
      </c>
      <c r="DW91" s="51">
        <f t="shared" ref="DW91" si="459">SUM(DW71:DW90)</f>
        <v>425750</v>
      </c>
      <c r="DX91" s="51">
        <f t="shared" ref="DX91" si="460">SUM(DX71:DX90)</f>
        <v>13500</v>
      </c>
      <c r="DY91" s="51">
        <f t="shared" ref="DY91" si="461">SUM(DY71:DY90)</f>
        <v>12033</v>
      </c>
      <c r="DZ91" s="51">
        <f t="shared" ref="DZ91" si="462">SUM(DZ71:DZ90)</f>
        <v>0</v>
      </c>
      <c r="EA91" s="51">
        <f t="shared" ref="EA91" si="463">SUM(EA71:EA90)</f>
        <v>0</v>
      </c>
      <c r="EB91" s="51">
        <f t="shared" ref="EB91" si="464">SUM(EB71:EB90)</f>
        <v>0</v>
      </c>
      <c r="EC91" s="51">
        <f t="shared" ref="EC91" si="465">SUM(EC71:EC90)</f>
        <v>0</v>
      </c>
      <c r="ED91" s="51">
        <f t="shared" ref="ED91" si="466">SUM(ED71:ED90)</f>
        <v>0</v>
      </c>
      <c r="EE91" s="51">
        <f t="shared" ref="EE91" si="467">SUM(EE71:EE90)</f>
        <v>0</v>
      </c>
      <c r="EF91" s="51">
        <f t="shared" si="331"/>
        <v>451283</v>
      </c>
      <c r="EG91" s="51">
        <f>SUM(EG71:EG90)</f>
        <v>0</v>
      </c>
      <c r="EH91" s="51">
        <f t="shared" ref="EH91" si="468">SUM(EH71:EH90)</f>
        <v>0</v>
      </c>
      <c r="EI91" s="51">
        <f t="shared" ref="EI91" si="469">SUM(EI71:EI90)</f>
        <v>0</v>
      </c>
      <c r="EJ91" s="51">
        <f t="shared" ref="EJ91" si="470">SUM(EJ71:EJ90)</f>
        <v>425750</v>
      </c>
      <c r="EK91" s="51">
        <f t="shared" ref="EK91" si="471">SUM(EK71:EK90)</f>
        <v>13500</v>
      </c>
      <c r="EL91" s="51">
        <f t="shared" ref="EL91" si="472">SUM(EL71:EL90)</f>
        <v>12033</v>
      </c>
      <c r="EM91" s="51">
        <f t="shared" ref="EM91" si="473">SUM(EM71:EM90)</f>
        <v>0</v>
      </c>
      <c r="EN91" s="51">
        <f t="shared" ref="EN91" si="474">SUM(EN71:EN90)</f>
        <v>0</v>
      </c>
      <c r="EO91" s="51">
        <f t="shared" ref="EO91" si="475">SUM(EO71:EO90)</f>
        <v>0</v>
      </c>
      <c r="EP91" s="51">
        <f t="shared" ref="EP91" si="476">SUM(EP71:EP90)</f>
        <v>0</v>
      </c>
      <c r="EQ91" s="51">
        <f t="shared" ref="EQ91" si="477">SUM(EQ71:EQ90)</f>
        <v>0</v>
      </c>
      <c r="ER91" s="51">
        <f t="shared" ref="ER91" si="478">SUM(ER71:ER90)</f>
        <v>0</v>
      </c>
      <c r="ES91" s="51">
        <f t="shared" si="324"/>
        <v>451283</v>
      </c>
      <c r="ET91" s="51">
        <f>SUM(ET71:ET90)</f>
        <v>0</v>
      </c>
      <c r="EU91" s="51">
        <f t="shared" ref="EU91" si="479">SUM(EU71:EU90)</f>
        <v>0</v>
      </c>
      <c r="EV91" s="51">
        <f t="shared" ref="EV91" si="480">SUM(EV71:EV90)</f>
        <v>0</v>
      </c>
      <c r="EW91" s="51">
        <f t="shared" ref="EW91" si="481">SUM(EW71:EW90)</f>
        <v>425750</v>
      </c>
      <c r="EX91" s="51">
        <f t="shared" ref="EX91" si="482">SUM(EX71:EX90)</f>
        <v>13500</v>
      </c>
      <c r="EY91" s="51">
        <f t="shared" ref="EY91" si="483">SUM(EY71:EY90)</f>
        <v>12033</v>
      </c>
      <c r="EZ91" s="51">
        <f t="shared" ref="EZ91" si="484">SUM(EZ71:EZ90)</f>
        <v>0</v>
      </c>
      <c r="FA91" s="51">
        <f t="shared" ref="FA91" si="485">SUM(FA71:FA90)</f>
        <v>0</v>
      </c>
      <c r="FB91" s="51">
        <f t="shared" ref="FB91" si="486">SUM(FB71:FB90)</f>
        <v>0</v>
      </c>
      <c r="FC91" s="51">
        <f t="shared" ref="FC91" si="487">SUM(FC71:FC90)</f>
        <v>0</v>
      </c>
      <c r="FD91" s="51">
        <f t="shared" ref="FD91" si="488">SUM(FD71:FD90)</f>
        <v>0</v>
      </c>
      <c r="FE91" s="51">
        <f t="shared" ref="FE91" si="489">SUM(FE71:FE90)</f>
        <v>0</v>
      </c>
      <c r="FF91" s="51">
        <f t="shared" si="332"/>
        <v>451283</v>
      </c>
      <c r="FG91" s="51">
        <f t="shared" si="333"/>
        <v>1353849</v>
      </c>
      <c r="FH91" s="35">
        <f t="shared" si="334"/>
        <v>5355702</v>
      </c>
    </row>
    <row r="92" spans="1:164" x14ac:dyDescent="0.35">
      <c r="A92" s="34" t="s">
        <v>4</v>
      </c>
      <c r="B92" s="40" t="s">
        <v>119</v>
      </c>
      <c r="C92" s="41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>
        <f t="shared" si="325"/>
        <v>0</v>
      </c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>
        <f t="shared" si="318"/>
        <v>0</v>
      </c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>
        <f t="shared" si="319"/>
        <v>0</v>
      </c>
      <c r="AQ92" s="35">
        <f t="shared" si="320"/>
        <v>0</v>
      </c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>
        <f t="shared" si="326"/>
        <v>0</v>
      </c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>
        <f t="shared" si="321"/>
        <v>0</v>
      </c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>
        <f t="shared" si="322"/>
        <v>0</v>
      </c>
      <c r="CE92" s="35">
        <f t="shared" si="327"/>
        <v>0</v>
      </c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>
        <f t="shared" si="328"/>
        <v>0</v>
      </c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>
        <f t="shared" si="323"/>
        <v>0</v>
      </c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>
        <f t="shared" si="329"/>
        <v>0</v>
      </c>
      <c r="DS92" s="35">
        <f t="shared" si="330"/>
        <v>0</v>
      </c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>
        <f t="shared" si="331"/>
        <v>0</v>
      </c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>
        <f t="shared" si="324"/>
        <v>0</v>
      </c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>
        <f t="shared" si="332"/>
        <v>0</v>
      </c>
      <c r="FG92" s="35">
        <f t="shared" si="333"/>
        <v>0</v>
      </c>
      <c r="FH92" s="35">
        <f t="shared" si="334"/>
        <v>0</v>
      </c>
    </row>
    <row r="93" spans="1:164" x14ac:dyDescent="0.35">
      <c r="A93" s="34"/>
      <c r="B93" s="40"/>
      <c r="C93" s="41" t="s">
        <v>187</v>
      </c>
      <c r="D93" s="35"/>
      <c r="E93" s="35"/>
      <c r="F93" s="35"/>
      <c r="G93" s="35">
        <v>20690</v>
      </c>
      <c r="H93" s="35">
        <v>750</v>
      </c>
      <c r="I93" s="35">
        <v>621</v>
      </c>
      <c r="J93" s="35"/>
      <c r="K93" s="35"/>
      <c r="L93" s="35"/>
      <c r="M93" s="35"/>
      <c r="N93" s="35"/>
      <c r="O93" s="35"/>
      <c r="P93" s="35">
        <f t="shared" si="325"/>
        <v>22061</v>
      </c>
      <c r="Q93" s="35"/>
      <c r="R93" s="35"/>
      <c r="S93" s="35"/>
      <c r="T93" s="35">
        <v>20690</v>
      </c>
      <c r="U93" s="35">
        <v>750</v>
      </c>
      <c r="V93" s="35">
        <v>621</v>
      </c>
      <c r="W93" s="35"/>
      <c r="X93" s="35"/>
      <c r="Y93" s="35"/>
      <c r="Z93" s="35"/>
      <c r="AA93" s="35"/>
      <c r="AB93" s="35"/>
      <c r="AC93" s="35">
        <f t="shared" si="318"/>
        <v>22061</v>
      </c>
      <c r="AD93" s="35"/>
      <c r="AE93" s="35"/>
      <c r="AF93" s="35"/>
      <c r="AG93" s="35">
        <v>20690</v>
      </c>
      <c r="AH93" s="35">
        <v>750</v>
      </c>
      <c r="AI93" s="35">
        <v>621</v>
      </c>
      <c r="AJ93" s="35"/>
      <c r="AK93" s="35"/>
      <c r="AL93" s="35"/>
      <c r="AM93" s="35"/>
      <c r="AN93" s="35"/>
      <c r="AO93" s="35"/>
      <c r="AP93" s="35">
        <f t="shared" si="319"/>
        <v>22061</v>
      </c>
      <c r="AQ93" s="35">
        <f t="shared" si="320"/>
        <v>66183</v>
      </c>
      <c r="AR93" s="35"/>
      <c r="AS93" s="35"/>
      <c r="AT93" s="35"/>
      <c r="AU93" s="35">
        <v>20690</v>
      </c>
      <c r="AV93" s="35">
        <v>750</v>
      </c>
      <c r="AW93" s="35">
        <v>621</v>
      </c>
      <c r="AX93" s="35"/>
      <c r="AY93" s="35"/>
      <c r="AZ93" s="35"/>
      <c r="BA93" s="35"/>
      <c r="BB93" s="35"/>
      <c r="BC93" s="35"/>
      <c r="BD93" s="35">
        <f t="shared" si="326"/>
        <v>22061</v>
      </c>
      <c r="BE93" s="35"/>
      <c r="BF93" s="35"/>
      <c r="BG93" s="35"/>
      <c r="BH93" s="35">
        <v>20690</v>
      </c>
      <c r="BI93" s="35">
        <v>750</v>
      </c>
      <c r="BJ93" s="35">
        <v>621</v>
      </c>
      <c r="BK93" s="35"/>
      <c r="BL93" s="35"/>
      <c r="BM93" s="35"/>
      <c r="BN93" s="35"/>
      <c r="BO93" s="35"/>
      <c r="BP93" s="35"/>
      <c r="BQ93" s="35">
        <f t="shared" si="321"/>
        <v>22061</v>
      </c>
      <c r="BR93" s="35"/>
      <c r="BS93" s="35"/>
      <c r="BT93" s="35"/>
      <c r="BU93" s="35">
        <v>20690</v>
      </c>
      <c r="BV93" s="35">
        <v>750</v>
      </c>
      <c r="BW93" s="35">
        <v>621</v>
      </c>
      <c r="BX93" s="35"/>
      <c r="BY93" s="35"/>
      <c r="BZ93" s="35"/>
      <c r="CA93" s="35"/>
      <c r="CB93" s="35"/>
      <c r="CC93" s="35"/>
      <c r="CD93" s="35">
        <f t="shared" si="322"/>
        <v>22061</v>
      </c>
      <c r="CE93" s="35">
        <f t="shared" si="327"/>
        <v>66183</v>
      </c>
      <c r="CF93" s="35"/>
      <c r="CG93" s="35"/>
      <c r="CH93" s="35"/>
      <c r="CI93" s="35">
        <f>21720+(1030*6)</f>
        <v>27900</v>
      </c>
      <c r="CJ93" s="35">
        <v>750</v>
      </c>
      <c r="CK93" s="35">
        <f>652+(31*6)</f>
        <v>838</v>
      </c>
      <c r="CL93" s="35"/>
      <c r="CM93" s="35"/>
      <c r="CN93" s="35"/>
      <c r="CO93" s="35"/>
      <c r="CP93" s="35"/>
      <c r="CQ93" s="35"/>
      <c r="CR93" s="35">
        <f t="shared" si="328"/>
        <v>29488</v>
      </c>
      <c r="CS93" s="35"/>
      <c r="CT93" s="35"/>
      <c r="CU93" s="35"/>
      <c r="CV93" s="35">
        <f>21720+1200*6</f>
        <v>28920</v>
      </c>
      <c r="CW93" s="35">
        <v>750</v>
      </c>
      <c r="CX93" s="35">
        <f>652+36*6</f>
        <v>868</v>
      </c>
      <c r="CY93" s="35"/>
      <c r="CZ93" s="35"/>
      <c r="DA93" s="35"/>
      <c r="DB93" s="35"/>
      <c r="DC93" s="35"/>
      <c r="DD93" s="35"/>
      <c r="DE93" s="35">
        <f t="shared" si="323"/>
        <v>30538</v>
      </c>
      <c r="DF93" s="35"/>
      <c r="DG93" s="35"/>
      <c r="DH93" s="35"/>
      <c r="DI93" s="35">
        <v>21720</v>
      </c>
      <c r="DJ93" s="35">
        <v>750</v>
      </c>
      <c r="DK93" s="35">
        <v>652</v>
      </c>
      <c r="DL93" s="35"/>
      <c r="DM93" s="35"/>
      <c r="DN93" s="35"/>
      <c r="DO93" s="35"/>
      <c r="DP93" s="35"/>
      <c r="DQ93" s="35"/>
      <c r="DR93" s="35">
        <f t="shared" si="329"/>
        <v>23122</v>
      </c>
      <c r="DS93" s="35">
        <f t="shared" si="330"/>
        <v>83148</v>
      </c>
      <c r="DT93" s="35"/>
      <c r="DU93" s="35"/>
      <c r="DV93" s="35"/>
      <c r="DW93" s="35">
        <v>22920</v>
      </c>
      <c r="DX93" s="35">
        <v>750</v>
      </c>
      <c r="DY93" s="35">
        <v>688</v>
      </c>
      <c r="DZ93" s="35"/>
      <c r="EA93" s="35"/>
      <c r="EB93" s="35"/>
      <c r="EC93" s="35"/>
      <c r="ED93" s="35"/>
      <c r="EE93" s="35"/>
      <c r="EF93" s="35">
        <f t="shared" si="331"/>
        <v>24358</v>
      </c>
      <c r="EG93" s="35"/>
      <c r="EH93" s="35"/>
      <c r="EI93" s="35"/>
      <c r="EJ93" s="35">
        <v>22920</v>
      </c>
      <c r="EK93" s="35">
        <v>750</v>
      </c>
      <c r="EL93" s="35">
        <v>688</v>
      </c>
      <c r="EM93" s="35"/>
      <c r="EN93" s="35"/>
      <c r="EO93" s="35"/>
      <c r="EP93" s="35"/>
      <c r="EQ93" s="35"/>
      <c r="ER93" s="35"/>
      <c r="ES93" s="35">
        <f t="shared" si="324"/>
        <v>24358</v>
      </c>
      <c r="ET93" s="35"/>
      <c r="EU93" s="35"/>
      <c r="EV93" s="35"/>
      <c r="EW93" s="35">
        <v>22920</v>
      </c>
      <c r="EX93" s="35">
        <v>750</v>
      </c>
      <c r="EY93" s="35">
        <v>688</v>
      </c>
      <c r="EZ93" s="35"/>
      <c r="FA93" s="35"/>
      <c r="FB93" s="35"/>
      <c r="FC93" s="35"/>
      <c r="FD93" s="35"/>
      <c r="FE93" s="35"/>
      <c r="FF93" s="35">
        <f t="shared" si="332"/>
        <v>24358</v>
      </c>
      <c r="FG93" s="35">
        <f t="shared" si="333"/>
        <v>73074</v>
      </c>
      <c r="FH93" s="35">
        <f t="shared" si="334"/>
        <v>288588</v>
      </c>
    </row>
    <row r="94" spans="1:164" x14ac:dyDescent="0.35">
      <c r="A94" s="34"/>
      <c r="B94" s="40"/>
      <c r="C94" s="41" t="s">
        <v>188</v>
      </c>
      <c r="D94" s="35"/>
      <c r="E94" s="35"/>
      <c r="F94" s="35"/>
      <c r="G94" s="35">
        <v>18000</v>
      </c>
      <c r="H94" s="35">
        <v>750</v>
      </c>
      <c r="I94" s="35">
        <v>0</v>
      </c>
      <c r="J94" s="35"/>
      <c r="K94" s="35"/>
      <c r="L94" s="35"/>
      <c r="M94" s="35"/>
      <c r="N94" s="35"/>
      <c r="O94" s="35"/>
      <c r="P94" s="35">
        <f t="shared" si="325"/>
        <v>18750</v>
      </c>
      <c r="Q94" s="35"/>
      <c r="R94" s="35"/>
      <c r="S94" s="35"/>
      <c r="T94" s="35">
        <v>18000</v>
      </c>
      <c r="U94" s="35">
        <v>750</v>
      </c>
      <c r="V94" s="35">
        <v>0</v>
      </c>
      <c r="W94" s="35"/>
      <c r="X94" s="35"/>
      <c r="Y94" s="35"/>
      <c r="Z94" s="35"/>
      <c r="AA94" s="35"/>
      <c r="AB94" s="35"/>
      <c r="AC94" s="35">
        <f t="shared" si="318"/>
        <v>18750</v>
      </c>
      <c r="AD94" s="35"/>
      <c r="AE94" s="35"/>
      <c r="AF94" s="35"/>
      <c r="AG94" s="35">
        <v>18000</v>
      </c>
      <c r="AH94" s="35">
        <v>750</v>
      </c>
      <c r="AI94" s="35">
        <v>0</v>
      </c>
      <c r="AJ94" s="35"/>
      <c r="AK94" s="35"/>
      <c r="AL94" s="35"/>
      <c r="AM94" s="35"/>
      <c r="AN94" s="35"/>
      <c r="AO94" s="35"/>
      <c r="AP94" s="35">
        <f t="shared" si="319"/>
        <v>18750</v>
      </c>
      <c r="AQ94" s="35">
        <f t="shared" si="320"/>
        <v>56250</v>
      </c>
      <c r="AR94" s="35"/>
      <c r="AS94" s="35"/>
      <c r="AT94" s="35"/>
      <c r="AU94" s="35">
        <v>18000</v>
      </c>
      <c r="AV94" s="35">
        <v>750</v>
      </c>
      <c r="AW94" s="35">
        <v>0</v>
      </c>
      <c r="AX94" s="35"/>
      <c r="AY94" s="35"/>
      <c r="AZ94" s="35"/>
      <c r="BA94" s="35"/>
      <c r="BB94" s="35"/>
      <c r="BC94" s="35"/>
      <c r="BD94" s="35">
        <f t="shared" si="326"/>
        <v>18750</v>
      </c>
      <c r="BE94" s="35"/>
      <c r="BF94" s="35"/>
      <c r="BG94" s="35"/>
      <c r="BH94" s="35">
        <v>18000</v>
      </c>
      <c r="BI94" s="35">
        <v>750</v>
      </c>
      <c r="BJ94" s="35">
        <v>0</v>
      </c>
      <c r="BK94" s="35"/>
      <c r="BL94" s="35"/>
      <c r="BM94" s="35"/>
      <c r="BN94" s="35"/>
      <c r="BO94" s="35"/>
      <c r="BP94" s="35"/>
      <c r="BQ94" s="35">
        <f t="shared" si="321"/>
        <v>18750</v>
      </c>
      <c r="BR94" s="35"/>
      <c r="BS94" s="35"/>
      <c r="BT94" s="35"/>
      <c r="BU94" s="35">
        <v>18000</v>
      </c>
      <c r="BV94" s="35">
        <v>750</v>
      </c>
      <c r="BW94" s="35">
        <v>0</v>
      </c>
      <c r="BX94" s="35"/>
      <c r="BY94" s="35"/>
      <c r="BZ94" s="35"/>
      <c r="CA94" s="35"/>
      <c r="CB94" s="35"/>
      <c r="CC94" s="35"/>
      <c r="CD94" s="35">
        <f t="shared" si="322"/>
        <v>18750</v>
      </c>
      <c r="CE94" s="35">
        <f t="shared" si="327"/>
        <v>56250</v>
      </c>
      <c r="CF94" s="35"/>
      <c r="CG94" s="35"/>
      <c r="CH94" s="35"/>
      <c r="CI94" s="35">
        <f>18880+(880*6)</f>
        <v>24160</v>
      </c>
      <c r="CJ94" s="35">
        <v>750</v>
      </c>
      <c r="CK94" s="35">
        <v>0</v>
      </c>
      <c r="CL94" s="35"/>
      <c r="CM94" s="35"/>
      <c r="CN94" s="35"/>
      <c r="CO94" s="35"/>
      <c r="CP94" s="35"/>
      <c r="CQ94" s="35"/>
      <c r="CR94" s="35">
        <f t="shared" si="328"/>
        <v>24910</v>
      </c>
      <c r="CS94" s="35"/>
      <c r="CT94" s="35"/>
      <c r="CU94" s="35"/>
      <c r="CV94" s="35">
        <f>18880+3720+400*6</f>
        <v>25000</v>
      </c>
      <c r="CW94" s="35">
        <v>750</v>
      </c>
      <c r="CX94" s="35">
        <v>0</v>
      </c>
      <c r="CY94" s="35"/>
      <c r="CZ94" s="35"/>
      <c r="DA94" s="35"/>
      <c r="DB94" s="35"/>
      <c r="DC94" s="35"/>
      <c r="DD94" s="35"/>
      <c r="DE94" s="35">
        <f t="shared" si="323"/>
        <v>25750</v>
      </c>
      <c r="DF94" s="35"/>
      <c r="DG94" s="35"/>
      <c r="DH94" s="35"/>
      <c r="DI94" s="35">
        <v>18880</v>
      </c>
      <c r="DJ94" s="35">
        <v>750</v>
      </c>
      <c r="DK94" s="35">
        <v>0</v>
      </c>
      <c r="DL94" s="35"/>
      <c r="DM94" s="35"/>
      <c r="DN94" s="35"/>
      <c r="DO94" s="35"/>
      <c r="DP94" s="35"/>
      <c r="DQ94" s="35"/>
      <c r="DR94" s="35">
        <f t="shared" si="329"/>
        <v>19630</v>
      </c>
      <c r="DS94" s="35">
        <f t="shared" si="330"/>
        <v>70290</v>
      </c>
      <c r="DT94" s="35"/>
      <c r="DU94" s="35"/>
      <c r="DV94" s="35"/>
      <c r="DW94" s="35">
        <v>19900</v>
      </c>
      <c r="DX94" s="35">
        <v>750</v>
      </c>
      <c r="DY94" s="35">
        <v>0</v>
      </c>
      <c r="DZ94" s="35"/>
      <c r="EA94" s="35"/>
      <c r="EB94" s="35"/>
      <c r="EC94" s="35"/>
      <c r="ED94" s="35"/>
      <c r="EE94" s="35"/>
      <c r="EF94" s="35">
        <f t="shared" si="331"/>
        <v>20650</v>
      </c>
      <c r="EG94" s="35"/>
      <c r="EH94" s="35"/>
      <c r="EI94" s="35"/>
      <c r="EJ94" s="35">
        <v>19900</v>
      </c>
      <c r="EK94" s="35">
        <v>750</v>
      </c>
      <c r="EL94" s="35">
        <v>0</v>
      </c>
      <c r="EM94" s="35"/>
      <c r="EN94" s="35"/>
      <c r="EO94" s="35"/>
      <c r="EP94" s="35"/>
      <c r="EQ94" s="35"/>
      <c r="ER94" s="35"/>
      <c r="ES94" s="35">
        <f t="shared" si="324"/>
        <v>20650</v>
      </c>
      <c r="ET94" s="35"/>
      <c r="EU94" s="35"/>
      <c r="EV94" s="35"/>
      <c r="EW94" s="35">
        <v>19900</v>
      </c>
      <c r="EX94" s="35">
        <v>750</v>
      </c>
      <c r="EY94" s="35">
        <v>0</v>
      </c>
      <c r="EZ94" s="35"/>
      <c r="FA94" s="35"/>
      <c r="FB94" s="35"/>
      <c r="FC94" s="35"/>
      <c r="FD94" s="35"/>
      <c r="FE94" s="35"/>
      <c r="FF94" s="35">
        <f t="shared" si="332"/>
        <v>20650</v>
      </c>
      <c r="FG94" s="35">
        <f t="shared" si="333"/>
        <v>61950</v>
      </c>
      <c r="FH94" s="35">
        <f t="shared" si="334"/>
        <v>244740</v>
      </c>
    </row>
    <row r="95" spans="1:164" x14ac:dyDescent="0.35">
      <c r="A95" s="34"/>
      <c r="B95" s="40"/>
      <c r="C95" s="41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>
        <f t="shared" si="325"/>
        <v>0</v>
      </c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>
        <f t="shared" si="318"/>
        <v>0</v>
      </c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>
        <f t="shared" si="319"/>
        <v>0</v>
      </c>
      <c r="AQ95" s="35">
        <f t="shared" si="320"/>
        <v>0</v>
      </c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>
        <f t="shared" si="326"/>
        <v>0</v>
      </c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>
        <f t="shared" si="321"/>
        <v>0</v>
      </c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>
        <f t="shared" si="322"/>
        <v>0</v>
      </c>
      <c r="CE95" s="35">
        <f t="shared" si="327"/>
        <v>0</v>
      </c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>
        <f t="shared" si="328"/>
        <v>0</v>
      </c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>
        <f t="shared" si="323"/>
        <v>0</v>
      </c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>
        <f t="shared" si="329"/>
        <v>0</v>
      </c>
      <c r="DS95" s="35">
        <f t="shared" si="330"/>
        <v>0</v>
      </c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>
        <f t="shared" si="331"/>
        <v>0</v>
      </c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>
        <f t="shared" si="324"/>
        <v>0</v>
      </c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>
        <f t="shared" si="332"/>
        <v>0</v>
      </c>
      <c r="FG95" s="35">
        <f t="shared" si="333"/>
        <v>0</v>
      </c>
      <c r="FH95" s="35">
        <f t="shared" si="334"/>
        <v>0</v>
      </c>
    </row>
    <row r="96" spans="1:164" x14ac:dyDescent="0.35">
      <c r="A96" s="48"/>
      <c r="B96" s="49" t="s">
        <v>119</v>
      </c>
      <c r="C96" s="50"/>
      <c r="D96" s="51">
        <f>SUM(D93:D95)</f>
        <v>0</v>
      </c>
      <c r="E96" s="51">
        <f t="shared" ref="E96:O96" si="490">SUM(E93:E95)</f>
        <v>0</v>
      </c>
      <c r="F96" s="51">
        <f t="shared" si="490"/>
        <v>0</v>
      </c>
      <c r="G96" s="51">
        <f t="shared" si="490"/>
        <v>38690</v>
      </c>
      <c r="H96" s="51">
        <f t="shared" si="490"/>
        <v>1500</v>
      </c>
      <c r="I96" s="51">
        <f t="shared" si="490"/>
        <v>621</v>
      </c>
      <c r="J96" s="51">
        <f t="shared" si="490"/>
        <v>0</v>
      </c>
      <c r="K96" s="51">
        <f t="shared" si="490"/>
        <v>0</v>
      </c>
      <c r="L96" s="51">
        <f t="shared" si="490"/>
        <v>0</v>
      </c>
      <c r="M96" s="51">
        <f t="shared" si="490"/>
        <v>0</v>
      </c>
      <c r="N96" s="51">
        <f t="shared" si="490"/>
        <v>0</v>
      </c>
      <c r="O96" s="51">
        <f t="shared" si="490"/>
        <v>0</v>
      </c>
      <c r="P96" s="51">
        <f t="shared" si="325"/>
        <v>40811</v>
      </c>
      <c r="Q96" s="51">
        <f>SUM(Q93:Q95)</f>
        <v>0</v>
      </c>
      <c r="R96" s="51">
        <f t="shared" ref="R96" si="491">SUM(R93:R95)</f>
        <v>0</v>
      </c>
      <c r="S96" s="51">
        <f t="shared" ref="S96" si="492">SUM(S93:S95)</f>
        <v>0</v>
      </c>
      <c r="T96" s="51">
        <f t="shared" ref="T96" si="493">SUM(T93:T95)</f>
        <v>38690</v>
      </c>
      <c r="U96" s="51">
        <f t="shared" ref="U96" si="494">SUM(U93:U95)</f>
        <v>1500</v>
      </c>
      <c r="V96" s="51">
        <f t="shared" ref="V96" si="495">SUM(V93:V95)</f>
        <v>621</v>
      </c>
      <c r="W96" s="51">
        <f t="shared" ref="W96" si="496">SUM(W93:W95)</f>
        <v>0</v>
      </c>
      <c r="X96" s="51">
        <f t="shared" ref="X96" si="497">SUM(X93:X95)</f>
        <v>0</v>
      </c>
      <c r="Y96" s="51">
        <f t="shared" ref="Y96" si="498">SUM(Y93:Y95)</f>
        <v>0</v>
      </c>
      <c r="Z96" s="51">
        <f t="shared" ref="Z96" si="499">SUM(Z93:Z95)</f>
        <v>0</v>
      </c>
      <c r="AA96" s="51">
        <f t="shared" ref="AA96" si="500">SUM(AA93:AA95)</f>
        <v>0</v>
      </c>
      <c r="AB96" s="51">
        <f t="shared" ref="AB96" si="501">SUM(AB93:AB95)</f>
        <v>0</v>
      </c>
      <c r="AC96" s="51">
        <f t="shared" si="318"/>
        <v>40811</v>
      </c>
      <c r="AD96" s="51">
        <f>SUM(AD93:AD95)</f>
        <v>0</v>
      </c>
      <c r="AE96" s="51">
        <f t="shared" ref="AE96" si="502">SUM(AE93:AE95)</f>
        <v>0</v>
      </c>
      <c r="AF96" s="51">
        <f t="shared" ref="AF96" si="503">SUM(AF93:AF95)</f>
        <v>0</v>
      </c>
      <c r="AG96" s="51">
        <f t="shared" ref="AG96" si="504">SUM(AG93:AG95)</f>
        <v>38690</v>
      </c>
      <c r="AH96" s="51">
        <f t="shared" ref="AH96" si="505">SUM(AH93:AH95)</f>
        <v>1500</v>
      </c>
      <c r="AI96" s="51">
        <f t="shared" ref="AI96" si="506">SUM(AI93:AI95)</f>
        <v>621</v>
      </c>
      <c r="AJ96" s="51">
        <f t="shared" ref="AJ96" si="507">SUM(AJ93:AJ95)</f>
        <v>0</v>
      </c>
      <c r="AK96" s="51">
        <f t="shared" ref="AK96" si="508">SUM(AK93:AK95)</f>
        <v>0</v>
      </c>
      <c r="AL96" s="51">
        <f t="shared" ref="AL96" si="509">SUM(AL93:AL95)</f>
        <v>0</v>
      </c>
      <c r="AM96" s="51">
        <f t="shared" ref="AM96" si="510">SUM(AM93:AM95)</f>
        <v>0</v>
      </c>
      <c r="AN96" s="51">
        <f t="shared" ref="AN96" si="511">SUM(AN93:AN95)</f>
        <v>0</v>
      </c>
      <c r="AO96" s="51">
        <f t="shared" ref="AO96" si="512">SUM(AO93:AO95)</f>
        <v>0</v>
      </c>
      <c r="AP96" s="51">
        <f t="shared" si="319"/>
        <v>40811</v>
      </c>
      <c r="AQ96" s="51">
        <f t="shared" si="320"/>
        <v>122433</v>
      </c>
      <c r="AR96" s="51">
        <f>SUM(AR93:AR95)</f>
        <v>0</v>
      </c>
      <c r="AS96" s="51">
        <f t="shared" ref="AS96" si="513">SUM(AS93:AS95)</f>
        <v>0</v>
      </c>
      <c r="AT96" s="51">
        <f t="shared" ref="AT96" si="514">SUM(AT93:AT95)</f>
        <v>0</v>
      </c>
      <c r="AU96" s="51">
        <f t="shared" ref="AU96" si="515">SUM(AU93:AU95)</f>
        <v>38690</v>
      </c>
      <c r="AV96" s="51">
        <f t="shared" ref="AV96" si="516">SUM(AV93:AV95)</f>
        <v>1500</v>
      </c>
      <c r="AW96" s="51">
        <f t="shared" ref="AW96" si="517">SUM(AW93:AW95)</f>
        <v>621</v>
      </c>
      <c r="AX96" s="51">
        <f t="shared" ref="AX96" si="518">SUM(AX93:AX95)</f>
        <v>0</v>
      </c>
      <c r="AY96" s="51">
        <f t="shared" ref="AY96" si="519">SUM(AY93:AY95)</f>
        <v>0</v>
      </c>
      <c r="AZ96" s="51">
        <f t="shared" ref="AZ96" si="520">SUM(AZ93:AZ95)</f>
        <v>0</v>
      </c>
      <c r="BA96" s="51">
        <f t="shared" ref="BA96" si="521">SUM(BA93:BA95)</f>
        <v>0</v>
      </c>
      <c r="BB96" s="51">
        <f t="shared" ref="BB96" si="522">SUM(BB93:BB95)</f>
        <v>0</v>
      </c>
      <c r="BC96" s="51">
        <f t="shared" ref="BC96" si="523">SUM(BC93:BC95)</f>
        <v>0</v>
      </c>
      <c r="BD96" s="51">
        <f t="shared" si="326"/>
        <v>40811</v>
      </c>
      <c r="BE96" s="51">
        <f>SUM(BE93:BE95)</f>
        <v>0</v>
      </c>
      <c r="BF96" s="51">
        <f t="shared" ref="BF96" si="524">SUM(BF93:BF95)</f>
        <v>0</v>
      </c>
      <c r="BG96" s="51">
        <f t="shared" ref="BG96" si="525">SUM(BG93:BG95)</f>
        <v>0</v>
      </c>
      <c r="BH96" s="51">
        <f t="shared" ref="BH96" si="526">SUM(BH93:BH95)</f>
        <v>38690</v>
      </c>
      <c r="BI96" s="51">
        <f t="shared" ref="BI96" si="527">SUM(BI93:BI95)</f>
        <v>1500</v>
      </c>
      <c r="BJ96" s="51">
        <f t="shared" ref="BJ96" si="528">SUM(BJ93:BJ95)</f>
        <v>621</v>
      </c>
      <c r="BK96" s="51">
        <f t="shared" ref="BK96" si="529">SUM(BK93:BK95)</f>
        <v>0</v>
      </c>
      <c r="BL96" s="51">
        <f t="shared" ref="BL96" si="530">SUM(BL93:BL95)</f>
        <v>0</v>
      </c>
      <c r="BM96" s="51">
        <f t="shared" ref="BM96" si="531">SUM(BM93:BM95)</f>
        <v>0</v>
      </c>
      <c r="BN96" s="51">
        <f t="shared" ref="BN96" si="532">SUM(BN93:BN95)</f>
        <v>0</v>
      </c>
      <c r="BO96" s="51">
        <f t="shared" ref="BO96" si="533">SUM(BO93:BO95)</f>
        <v>0</v>
      </c>
      <c r="BP96" s="51">
        <f t="shared" ref="BP96" si="534">SUM(BP93:BP95)</f>
        <v>0</v>
      </c>
      <c r="BQ96" s="51">
        <f t="shared" si="321"/>
        <v>40811</v>
      </c>
      <c r="BR96" s="51">
        <f>SUM(BR93:BR95)</f>
        <v>0</v>
      </c>
      <c r="BS96" s="51">
        <f t="shared" ref="BS96" si="535">SUM(BS93:BS95)</f>
        <v>0</v>
      </c>
      <c r="BT96" s="51">
        <f t="shared" ref="BT96" si="536">SUM(BT93:BT95)</f>
        <v>0</v>
      </c>
      <c r="BU96" s="51">
        <f t="shared" ref="BU96" si="537">SUM(BU93:BU95)</f>
        <v>38690</v>
      </c>
      <c r="BV96" s="51">
        <f t="shared" ref="BV96" si="538">SUM(BV93:BV95)</f>
        <v>1500</v>
      </c>
      <c r="BW96" s="51">
        <f t="shared" ref="BW96" si="539">SUM(BW93:BW95)</f>
        <v>621</v>
      </c>
      <c r="BX96" s="51">
        <f t="shared" ref="BX96" si="540">SUM(BX93:BX95)</f>
        <v>0</v>
      </c>
      <c r="BY96" s="51">
        <f t="shared" ref="BY96" si="541">SUM(BY93:BY95)</f>
        <v>0</v>
      </c>
      <c r="BZ96" s="51">
        <f t="shared" ref="BZ96" si="542">SUM(BZ93:BZ95)</f>
        <v>0</v>
      </c>
      <c r="CA96" s="51">
        <f t="shared" ref="CA96" si="543">SUM(CA93:CA95)</f>
        <v>0</v>
      </c>
      <c r="CB96" s="51">
        <f t="shared" ref="CB96" si="544">SUM(CB93:CB95)</f>
        <v>0</v>
      </c>
      <c r="CC96" s="51">
        <f t="shared" ref="CC96" si="545">SUM(CC93:CC95)</f>
        <v>0</v>
      </c>
      <c r="CD96" s="51">
        <f t="shared" si="322"/>
        <v>40811</v>
      </c>
      <c r="CE96" s="51">
        <f t="shared" si="327"/>
        <v>122433</v>
      </c>
      <c r="CF96" s="51">
        <f>SUM(CF93:CF95)</f>
        <v>0</v>
      </c>
      <c r="CG96" s="51">
        <f t="shared" ref="CG96" si="546">SUM(CG93:CG95)</f>
        <v>0</v>
      </c>
      <c r="CH96" s="51">
        <f t="shared" ref="CH96" si="547">SUM(CH93:CH95)</f>
        <v>0</v>
      </c>
      <c r="CI96" s="51">
        <f t="shared" ref="CI96" si="548">SUM(CI93:CI95)</f>
        <v>52060</v>
      </c>
      <c r="CJ96" s="51">
        <f t="shared" ref="CJ96" si="549">SUM(CJ93:CJ95)</f>
        <v>1500</v>
      </c>
      <c r="CK96" s="51">
        <f t="shared" ref="CK96" si="550">SUM(CK93:CK95)</f>
        <v>838</v>
      </c>
      <c r="CL96" s="51">
        <f t="shared" ref="CL96" si="551">SUM(CL93:CL95)</f>
        <v>0</v>
      </c>
      <c r="CM96" s="51">
        <f t="shared" ref="CM96" si="552">SUM(CM93:CM95)</f>
        <v>0</v>
      </c>
      <c r="CN96" s="51">
        <f t="shared" ref="CN96" si="553">SUM(CN93:CN95)</f>
        <v>0</v>
      </c>
      <c r="CO96" s="51">
        <f t="shared" ref="CO96" si="554">SUM(CO93:CO95)</f>
        <v>0</v>
      </c>
      <c r="CP96" s="51">
        <f t="shared" ref="CP96" si="555">SUM(CP93:CP95)</f>
        <v>0</v>
      </c>
      <c r="CQ96" s="51">
        <f t="shared" ref="CQ96" si="556">SUM(CQ93:CQ95)</f>
        <v>0</v>
      </c>
      <c r="CR96" s="51">
        <f t="shared" si="328"/>
        <v>54398</v>
      </c>
      <c r="CS96" s="51">
        <f>SUM(CS93:CS95)</f>
        <v>0</v>
      </c>
      <c r="CT96" s="51">
        <f t="shared" ref="CT96" si="557">SUM(CT93:CT95)</f>
        <v>0</v>
      </c>
      <c r="CU96" s="51">
        <f t="shared" ref="CU96" si="558">SUM(CU93:CU95)</f>
        <v>0</v>
      </c>
      <c r="CV96" s="51">
        <f t="shared" ref="CV96" si="559">SUM(CV93:CV95)</f>
        <v>53920</v>
      </c>
      <c r="CW96" s="51">
        <f t="shared" ref="CW96" si="560">SUM(CW93:CW95)</f>
        <v>1500</v>
      </c>
      <c r="CX96" s="51">
        <f t="shared" ref="CX96" si="561">SUM(CX93:CX95)</f>
        <v>868</v>
      </c>
      <c r="CY96" s="51">
        <f t="shared" ref="CY96" si="562">SUM(CY93:CY95)</f>
        <v>0</v>
      </c>
      <c r="CZ96" s="51">
        <f t="shared" ref="CZ96" si="563">SUM(CZ93:CZ95)</f>
        <v>0</v>
      </c>
      <c r="DA96" s="51">
        <f t="shared" ref="DA96" si="564">SUM(DA93:DA95)</f>
        <v>0</v>
      </c>
      <c r="DB96" s="51">
        <f t="shared" ref="DB96" si="565">SUM(DB93:DB95)</f>
        <v>0</v>
      </c>
      <c r="DC96" s="51">
        <f t="shared" ref="DC96" si="566">SUM(DC93:DC95)</f>
        <v>0</v>
      </c>
      <c r="DD96" s="51">
        <f t="shared" ref="DD96" si="567">SUM(DD93:DD95)</f>
        <v>0</v>
      </c>
      <c r="DE96" s="51">
        <f t="shared" si="323"/>
        <v>56288</v>
      </c>
      <c r="DF96" s="51">
        <f>SUM(DF93:DF95)</f>
        <v>0</v>
      </c>
      <c r="DG96" s="51">
        <f t="shared" ref="DG96" si="568">SUM(DG93:DG95)</f>
        <v>0</v>
      </c>
      <c r="DH96" s="51">
        <f t="shared" ref="DH96" si="569">SUM(DH93:DH95)</f>
        <v>0</v>
      </c>
      <c r="DI96" s="51">
        <f t="shared" ref="DI96" si="570">SUM(DI93:DI95)</f>
        <v>40600</v>
      </c>
      <c r="DJ96" s="51">
        <f t="shared" ref="DJ96" si="571">SUM(DJ93:DJ95)</f>
        <v>1500</v>
      </c>
      <c r="DK96" s="51">
        <f t="shared" ref="DK96" si="572">SUM(DK93:DK95)</f>
        <v>652</v>
      </c>
      <c r="DL96" s="51">
        <f t="shared" ref="DL96" si="573">SUM(DL93:DL95)</f>
        <v>0</v>
      </c>
      <c r="DM96" s="51">
        <f t="shared" ref="DM96" si="574">SUM(DM93:DM95)</f>
        <v>0</v>
      </c>
      <c r="DN96" s="51">
        <f t="shared" ref="DN96" si="575">SUM(DN93:DN95)</f>
        <v>0</v>
      </c>
      <c r="DO96" s="51">
        <f t="shared" ref="DO96" si="576">SUM(DO93:DO95)</f>
        <v>0</v>
      </c>
      <c r="DP96" s="51">
        <f t="shared" ref="DP96" si="577">SUM(DP93:DP95)</f>
        <v>0</v>
      </c>
      <c r="DQ96" s="51">
        <f t="shared" ref="DQ96" si="578">SUM(DQ93:DQ95)</f>
        <v>0</v>
      </c>
      <c r="DR96" s="51">
        <f t="shared" si="329"/>
        <v>42752</v>
      </c>
      <c r="DS96" s="51">
        <f t="shared" si="330"/>
        <v>153438</v>
      </c>
      <c r="DT96" s="51">
        <f>SUM(DT93:DT95)</f>
        <v>0</v>
      </c>
      <c r="DU96" s="51">
        <f t="shared" ref="DU96" si="579">SUM(DU93:DU95)</f>
        <v>0</v>
      </c>
      <c r="DV96" s="51">
        <f t="shared" ref="DV96" si="580">SUM(DV93:DV95)</f>
        <v>0</v>
      </c>
      <c r="DW96" s="51">
        <f t="shared" ref="DW96" si="581">SUM(DW93:DW95)</f>
        <v>42820</v>
      </c>
      <c r="DX96" s="51">
        <f t="shared" ref="DX96" si="582">SUM(DX93:DX95)</f>
        <v>1500</v>
      </c>
      <c r="DY96" s="51">
        <f t="shared" ref="DY96" si="583">SUM(DY93:DY95)</f>
        <v>688</v>
      </c>
      <c r="DZ96" s="51">
        <f t="shared" ref="DZ96" si="584">SUM(DZ93:DZ95)</f>
        <v>0</v>
      </c>
      <c r="EA96" s="51">
        <f t="shared" ref="EA96" si="585">SUM(EA93:EA95)</f>
        <v>0</v>
      </c>
      <c r="EB96" s="51">
        <f t="shared" ref="EB96" si="586">SUM(EB93:EB95)</f>
        <v>0</v>
      </c>
      <c r="EC96" s="51">
        <f t="shared" ref="EC96" si="587">SUM(EC93:EC95)</f>
        <v>0</v>
      </c>
      <c r="ED96" s="51">
        <f t="shared" ref="ED96" si="588">SUM(ED93:ED95)</f>
        <v>0</v>
      </c>
      <c r="EE96" s="51">
        <f t="shared" ref="EE96" si="589">SUM(EE93:EE95)</f>
        <v>0</v>
      </c>
      <c r="EF96" s="51">
        <f t="shared" si="331"/>
        <v>45008</v>
      </c>
      <c r="EG96" s="51">
        <f>SUM(EG93:EG95)</f>
        <v>0</v>
      </c>
      <c r="EH96" s="51">
        <f t="shared" ref="EH96" si="590">SUM(EH93:EH95)</f>
        <v>0</v>
      </c>
      <c r="EI96" s="51">
        <f t="shared" ref="EI96" si="591">SUM(EI93:EI95)</f>
        <v>0</v>
      </c>
      <c r="EJ96" s="51">
        <f t="shared" ref="EJ96" si="592">SUM(EJ93:EJ95)</f>
        <v>42820</v>
      </c>
      <c r="EK96" s="51">
        <f t="shared" ref="EK96" si="593">SUM(EK93:EK95)</f>
        <v>1500</v>
      </c>
      <c r="EL96" s="51">
        <f t="shared" ref="EL96" si="594">SUM(EL93:EL95)</f>
        <v>688</v>
      </c>
      <c r="EM96" s="51">
        <f t="shared" ref="EM96" si="595">SUM(EM93:EM95)</f>
        <v>0</v>
      </c>
      <c r="EN96" s="51">
        <f t="shared" ref="EN96" si="596">SUM(EN93:EN95)</f>
        <v>0</v>
      </c>
      <c r="EO96" s="51">
        <f t="shared" ref="EO96" si="597">SUM(EO93:EO95)</f>
        <v>0</v>
      </c>
      <c r="EP96" s="51">
        <f t="shared" ref="EP96" si="598">SUM(EP93:EP95)</f>
        <v>0</v>
      </c>
      <c r="EQ96" s="51">
        <f t="shared" ref="EQ96" si="599">SUM(EQ93:EQ95)</f>
        <v>0</v>
      </c>
      <c r="ER96" s="51">
        <f t="shared" ref="ER96" si="600">SUM(ER93:ER95)</f>
        <v>0</v>
      </c>
      <c r="ES96" s="51">
        <f t="shared" si="324"/>
        <v>45008</v>
      </c>
      <c r="ET96" s="51">
        <f>SUM(ET93:ET95)</f>
        <v>0</v>
      </c>
      <c r="EU96" s="51">
        <f t="shared" ref="EU96" si="601">SUM(EU93:EU95)</f>
        <v>0</v>
      </c>
      <c r="EV96" s="51">
        <f t="shared" ref="EV96" si="602">SUM(EV93:EV95)</f>
        <v>0</v>
      </c>
      <c r="EW96" s="51">
        <f t="shared" ref="EW96" si="603">SUM(EW93:EW95)</f>
        <v>42820</v>
      </c>
      <c r="EX96" s="51">
        <f t="shared" ref="EX96" si="604">SUM(EX93:EX95)</f>
        <v>1500</v>
      </c>
      <c r="EY96" s="51">
        <f t="shared" ref="EY96" si="605">SUM(EY93:EY95)</f>
        <v>688</v>
      </c>
      <c r="EZ96" s="51">
        <f t="shared" ref="EZ96" si="606">SUM(EZ93:EZ95)</f>
        <v>0</v>
      </c>
      <c r="FA96" s="51">
        <f t="shared" ref="FA96" si="607">SUM(FA93:FA95)</f>
        <v>0</v>
      </c>
      <c r="FB96" s="51">
        <f t="shared" ref="FB96" si="608">SUM(FB93:FB95)</f>
        <v>0</v>
      </c>
      <c r="FC96" s="51">
        <f t="shared" ref="FC96" si="609">SUM(FC93:FC95)</f>
        <v>0</v>
      </c>
      <c r="FD96" s="51">
        <f t="shared" ref="FD96" si="610">SUM(FD93:FD95)</f>
        <v>0</v>
      </c>
      <c r="FE96" s="51">
        <f t="shared" ref="FE96" si="611">SUM(FE93:FE95)</f>
        <v>0</v>
      </c>
      <c r="FF96" s="51">
        <f t="shared" si="332"/>
        <v>45008</v>
      </c>
      <c r="FG96" s="51">
        <f t="shared" si="333"/>
        <v>135024</v>
      </c>
      <c r="FH96" s="35">
        <f t="shared" si="334"/>
        <v>533328</v>
      </c>
    </row>
    <row r="97" spans="1:164" x14ac:dyDescent="0.35">
      <c r="A97" s="34" t="s">
        <v>4</v>
      </c>
      <c r="B97" s="40" t="s">
        <v>104</v>
      </c>
      <c r="C97" s="41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>
        <f t="shared" si="325"/>
        <v>0</v>
      </c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>
        <f t="shared" si="318"/>
        <v>0</v>
      </c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>
        <f t="shared" si="319"/>
        <v>0</v>
      </c>
      <c r="AQ97" s="35">
        <f t="shared" si="320"/>
        <v>0</v>
      </c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>
        <f t="shared" si="326"/>
        <v>0</v>
      </c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>
        <f t="shared" si="321"/>
        <v>0</v>
      </c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>
        <f t="shared" si="322"/>
        <v>0</v>
      </c>
      <c r="CE97" s="35">
        <f t="shared" si="327"/>
        <v>0</v>
      </c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>
        <f t="shared" si="328"/>
        <v>0</v>
      </c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>
        <f t="shared" si="323"/>
        <v>0</v>
      </c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>
        <f t="shared" si="329"/>
        <v>0</v>
      </c>
      <c r="DS97" s="35">
        <f t="shared" si="330"/>
        <v>0</v>
      </c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>
        <f t="shared" si="331"/>
        <v>0</v>
      </c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>
        <f t="shared" si="324"/>
        <v>0</v>
      </c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>
        <f t="shared" si="332"/>
        <v>0</v>
      </c>
      <c r="FG97" s="35">
        <f t="shared" si="333"/>
        <v>0</v>
      </c>
      <c r="FH97" s="35">
        <f t="shared" si="334"/>
        <v>0</v>
      </c>
    </row>
    <row r="98" spans="1:164" x14ac:dyDescent="0.35">
      <c r="A98" s="34"/>
      <c r="B98" s="40"/>
      <c r="C98" s="41" t="s">
        <v>189</v>
      </c>
      <c r="D98" s="35"/>
      <c r="E98" s="35"/>
      <c r="F98" s="35"/>
      <c r="G98" s="35"/>
      <c r="H98" s="35"/>
      <c r="I98" s="35"/>
      <c r="J98" s="35">
        <v>28950</v>
      </c>
      <c r="K98" s="35">
        <v>750</v>
      </c>
      <c r="L98" s="35">
        <v>0</v>
      </c>
      <c r="M98" s="35"/>
      <c r="N98" s="35"/>
      <c r="O98" s="35"/>
      <c r="P98" s="35">
        <f t="shared" si="325"/>
        <v>29700</v>
      </c>
      <c r="Q98" s="35"/>
      <c r="R98" s="35"/>
      <c r="S98" s="35"/>
      <c r="T98" s="35"/>
      <c r="U98" s="35"/>
      <c r="V98" s="35"/>
      <c r="W98" s="35">
        <v>28950</v>
      </c>
      <c r="X98" s="35">
        <v>750</v>
      </c>
      <c r="Y98" s="35">
        <v>0</v>
      </c>
      <c r="Z98" s="35"/>
      <c r="AA98" s="35"/>
      <c r="AB98" s="35"/>
      <c r="AC98" s="35">
        <f t="shared" si="318"/>
        <v>29700</v>
      </c>
      <c r="AD98" s="35"/>
      <c r="AE98" s="35"/>
      <c r="AF98" s="35"/>
      <c r="AG98" s="35"/>
      <c r="AH98" s="35"/>
      <c r="AI98" s="35"/>
      <c r="AJ98" s="35">
        <v>28950</v>
      </c>
      <c r="AK98" s="35">
        <v>750</v>
      </c>
      <c r="AL98" s="35">
        <v>0</v>
      </c>
      <c r="AM98" s="35"/>
      <c r="AN98" s="35"/>
      <c r="AO98" s="35"/>
      <c r="AP98" s="35">
        <f t="shared" si="319"/>
        <v>29700</v>
      </c>
      <c r="AQ98" s="35">
        <f t="shared" si="320"/>
        <v>89100</v>
      </c>
      <c r="AR98" s="35"/>
      <c r="AS98" s="35"/>
      <c r="AT98" s="35"/>
      <c r="AU98" s="35"/>
      <c r="AV98" s="35"/>
      <c r="AW98" s="35"/>
      <c r="AX98" s="35">
        <v>28950</v>
      </c>
      <c r="AY98" s="35">
        <v>750</v>
      </c>
      <c r="AZ98" s="35">
        <v>0</v>
      </c>
      <c r="BA98" s="35"/>
      <c r="BB98" s="35"/>
      <c r="BC98" s="35"/>
      <c r="BD98" s="35">
        <f t="shared" si="326"/>
        <v>29700</v>
      </c>
      <c r="BE98" s="35"/>
      <c r="BF98" s="35"/>
      <c r="BG98" s="35"/>
      <c r="BH98" s="35"/>
      <c r="BI98" s="35"/>
      <c r="BJ98" s="35"/>
      <c r="BK98" s="35">
        <v>28950</v>
      </c>
      <c r="BL98" s="35">
        <v>750</v>
      </c>
      <c r="BM98" s="35">
        <v>0</v>
      </c>
      <c r="BN98" s="35"/>
      <c r="BO98" s="35"/>
      <c r="BP98" s="35"/>
      <c r="BQ98" s="35">
        <f t="shared" si="321"/>
        <v>29700</v>
      </c>
      <c r="BR98" s="35"/>
      <c r="BS98" s="35"/>
      <c r="BT98" s="35"/>
      <c r="BU98" s="35"/>
      <c r="BV98" s="35"/>
      <c r="BW98" s="35"/>
      <c r="BX98" s="35">
        <v>28950</v>
      </c>
      <c r="BY98" s="35">
        <v>750</v>
      </c>
      <c r="BZ98" s="35">
        <v>0</v>
      </c>
      <c r="CA98" s="35"/>
      <c r="CB98" s="35"/>
      <c r="CC98" s="35"/>
      <c r="CD98" s="35">
        <f t="shared" si="322"/>
        <v>29700</v>
      </c>
      <c r="CE98" s="35">
        <f t="shared" si="327"/>
        <v>89100</v>
      </c>
      <c r="CF98" s="35"/>
      <c r="CG98" s="35"/>
      <c r="CH98" s="35"/>
      <c r="CI98" s="35"/>
      <c r="CJ98" s="35"/>
      <c r="CK98" s="35"/>
      <c r="CL98" s="35">
        <f>30400+(1450*6)</f>
        <v>39100</v>
      </c>
      <c r="CM98" s="35">
        <v>750</v>
      </c>
      <c r="CN98" s="35">
        <v>0</v>
      </c>
      <c r="CO98" s="35"/>
      <c r="CP98" s="35"/>
      <c r="CQ98" s="35"/>
      <c r="CR98" s="35">
        <f t="shared" si="328"/>
        <v>39850</v>
      </c>
      <c r="CS98" s="35"/>
      <c r="CT98" s="35"/>
      <c r="CU98" s="35"/>
      <c r="CV98" s="35"/>
      <c r="CW98" s="35"/>
      <c r="CX98" s="35"/>
      <c r="CY98" s="35">
        <f>30400+2800*6</f>
        <v>47200</v>
      </c>
      <c r="CZ98" s="35">
        <v>750</v>
      </c>
      <c r="DA98" s="35">
        <v>0</v>
      </c>
      <c r="DB98" s="35"/>
      <c r="DC98" s="35"/>
      <c r="DD98" s="35"/>
      <c r="DE98" s="35">
        <f t="shared" si="323"/>
        <v>47950</v>
      </c>
      <c r="DF98" s="35"/>
      <c r="DG98" s="35"/>
      <c r="DH98" s="35"/>
      <c r="DI98" s="35"/>
      <c r="DJ98" s="35"/>
      <c r="DK98" s="35"/>
      <c r="DL98" s="35">
        <v>30400</v>
      </c>
      <c r="DM98" s="35">
        <v>750</v>
      </c>
      <c r="DN98" s="35">
        <v>0</v>
      </c>
      <c r="DO98" s="35"/>
      <c r="DP98" s="35"/>
      <c r="DQ98" s="35"/>
      <c r="DR98" s="35">
        <f t="shared" si="329"/>
        <v>31150</v>
      </c>
      <c r="DS98" s="35">
        <f t="shared" si="330"/>
        <v>118950</v>
      </c>
      <c r="DT98" s="35"/>
      <c r="DU98" s="35"/>
      <c r="DV98" s="35"/>
      <c r="DW98" s="35"/>
      <c r="DX98" s="35"/>
      <c r="DY98" s="35"/>
      <c r="DZ98" s="35">
        <v>33200</v>
      </c>
      <c r="EA98" s="35">
        <v>750</v>
      </c>
      <c r="EB98" s="35">
        <v>0</v>
      </c>
      <c r="EC98" s="35"/>
      <c r="ED98" s="35"/>
      <c r="EE98" s="35"/>
      <c r="EF98" s="35">
        <f t="shared" si="331"/>
        <v>33950</v>
      </c>
      <c r="EG98" s="35"/>
      <c r="EH98" s="35"/>
      <c r="EI98" s="35"/>
      <c r="EJ98" s="35"/>
      <c r="EK98" s="35"/>
      <c r="EL98" s="35"/>
      <c r="EM98" s="35">
        <v>33200</v>
      </c>
      <c r="EN98" s="35">
        <v>750</v>
      </c>
      <c r="EO98" s="35">
        <v>0</v>
      </c>
      <c r="EP98" s="35"/>
      <c r="EQ98" s="35"/>
      <c r="ER98" s="35"/>
      <c r="ES98" s="35">
        <f t="shared" si="324"/>
        <v>33950</v>
      </c>
      <c r="ET98" s="35"/>
      <c r="EU98" s="35"/>
      <c r="EV98" s="35"/>
      <c r="EW98" s="35"/>
      <c r="EX98" s="35"/>
      <c r="EY98" s="35"/>
      <c r="EZ98" s="35">
        <v>33200</v>
      </c>
      <c r="FA98" s="35">
        <v>750</v>
      </c>
      <c r="FB98" s="35">
        <v>0</v>
      </c>
      <c r="FC98" s="35"/>
      <c r="FD98" s="35"/>
      <c r="FE98" s="35"/>
      <c r="FF98" s="35">
        <f t="shared" si="332"/>
        <v>33950</v>
      </c>
      <c r="FG98" s="35">
        <f t="shared" si="333"/>
        <v>101850</v>
      </c>
      <c r="FH98" s="35">
        <f t="shared" si="334"/>
        <v>399000</v>
      </c>
    </row>
    <row r="99" spans="1:164" x14ac:dyDescent="0.35">
      <c r="A99" s="34"/>
      <c r="B99" s="40"/>
      <c r="C99" s="41" t="s">
        <v>190</v>
      </c>
      <c r="D99" s="35"/>
      <c r="E99" s="35"/>
      <c r="F99" s="35"/>
      <c r="G99" s="35"/>
      <c r="H99" s="35"/>
      <c r="I99" s="35"/>
      <c r="J99" s="35">
        <v>28930</v>
      </c>
      <c r="K99" s="35">
        <v>750</v>
      </c>
      <c r="L99" s="35">
        <v>868</v>
      </c>
      <c r="M99" s="35"/>
      <c r="N99" s="35"/>
      <c r="O99" s="35"/>
      <c r="P99" s="35">
        <f t="shared" si="325"/>
        <v>30548</v>
      </c>
      <c r="Q99" s="35"/>
      <c r="R99" s="35"/>
      <c r="S99" s="35"/>
      <c r="T99" s="35"/>
      <c r="U99" s="35"/>
      <c r="V99" s="35"/>
      <c r="W99" s="35">
        <v>28930</v>
      </c>
      <c r="X99" s="35">
        <v>750</v>
      </c>
      <c r="Y99" s="35">
        <v>868</v>
      </c>
      <c r="Z99" s="35"/>
      <c r="AA99" s="35"/>
      <c r="AB99" s="35"/>
      <c r="AC99" s="35">
        <f t="shared" si="318"/>
        <v>30548</v>
      </c>
      <c r="AD99" s="35"/>
      <c r="AE99" s="35"/>
      <c r="AF99" s="35"/>
      <c r="AG99" s="35"/>
      <c r="AH99" s="35"/>
      <c r="AI99" s="35"/>
      <c r="AJ99" s="35">
        <v>28930</v>
      </c>
      <c r="AK99" s="35">
        <v>750</v>
      </c>
      <c r="AL99" s="35">
        <v>868</v>
      </c>
      <c r="AM99" s="35"/>
      <c r="AN99" s="35"/>
      <c r="AO99" s="35"/>
      <c r="AP99" s="35">
        <f t="shared" si="319"/>
        <v>30548</v>
      </c>
      <c r="AQ99" s="35">
        <f t="shared" si="320"/>
        <v>91644</v>
      </c>
      <c r="AR99" s="35"/>
      <c r="AS99" s="35"/>
      <c r="AT99" s="35"/>
      <c r="AU99" s="35"/>
      <c r="AV99" s="35"/>
      <c r="AW99" s="35"/>
      <c r="AX99" s="35">
        <v>28930</v>
      </c>
      <c r="AY99" s="35">
        <v>750</v>
      </c>
      <c r="AZ99" s="35">
        <v>868</v>
      </c>
      <c r="BA99" s="35"/>
      <c r="BB99" s="35"/>
      <c r="BC99" s="35"/>
      <c r="BD99" s="35">
        <f t="shared" si="326"/>
        <v>30548</v>
      </c>
      <c r="BE99" s="35"/>
      <c r="BF99" s="35"/>
      <c r="BG99" s="35"/>
      <c r="BH99" s="35"/>
      <c r="BI99" s="35"/>
      <c r="BJ99" s="35"/>
      <c r="BK99" s="35">
        <v>28930</v>
      </c>
      <c r="BL99" s="35">
        <v>750</v>
      </c>
      <c r="BM99" s="35">
        <v>868</v>
      </c>
      <c r="BN99" s="35"/>
      <c r="BO99" s="35"/>
      <c r="BP99" s="35"/>
      <c r="BQ99" s="35">
        <f t="shared" si="321"/>
        <v>30548</v>
      </c>
      <c r="BR99" s="35"/>
      <c r="BS99" s="35"/>
      <c r="BT99" s="35"/>
      <c r="BU99" s="35"/>
      <c r="BV99" s="35"/>
      <c r="BW99" s="35"/>
      <c r="BX99" s="35">
        <v>28930</v>
      </c>
      <c r="BY99" s="35">
        <v>750</v>
      </c>
      <c r="BZ99" s="35">
        <v>868</v>
      </c>
      <c r="CA99" s="35"/>
      <c r="CB99" s="35"/>
      <c r="CC99" s="35"/>
      <c r="CD99" s="35">
        <f t="shared" si="322"/>
        <v>30548</v>
      </c>
      <c r="CE99" s="35">
        <f t="shared" si="327"/>
        <v>91644</v>
      </c>
      <c r="CF99" s="35"/>
      <c r="CG99" s="35"/>
      <c r="CH99" s="35"/>
      <c r="CI99" s="35"/>
      <c r="CJ99" s="35"/>
      <c r="CK99" s="35"/>
      <c r="CL99" s="35">
        <f>30370+(1440*6)</f>
        <v>39010</v>
      </c>
      <c r="CM99" s="35">
        <v>750</v>
      </c>
      <c r="CN99" s="35">
        <f>911+(43*6)</f>
        <v>1169</v>
      </c>
      <c r="CO99" s="35"/>
      <c r="CP99" s="35"/>
      <c r="CQ99" s="35"/>
      <c r="CR99" s="35">
        <f t="shared" si="328"/>
        <v>40929</v>
      </c>
      <c r="CS99" s="35"/>
      <c r="CT99" s="35"/>
      <c r="CU99" s="35"/>
      <c r="CV99" s="35"/>
      <c r="CW99" s="35"/>
      <c r="CX99" s="35"/>
      <c r="CY99" s="35">
        <f>30370+2800*6</f>
        <v>47170</v>
      </c>
      <c r="CZ99" s="35">
        <v>750</v>
      </c>
      <c r="DA99" s="35">
        <f>911+84*6</f>
        <v>1415</v>
      </c>
      <c r="DB99" s="35"/>
      <c r="DC99" s="35"/>
      <c r="DD99" s="35"/>
      <c r="DE99" s="35">
        <f t="shared" si="323"/>
        <v>49335</v>
      </c>
      <c r="DF99" s="35"/>
      <c r="DG99" s="35"/>
      <c r="DH99" s="35"/>
      <c r="DI99" s="35"/>
      <c r="DJ99" s="35"/>
      <c r="DK99" s="35"/>
      <c r="DL99" s="35">
        <v>30370</v>
      </c>
      <c r="DM99" s="35">
        <v>750</v>
      </c>
      <c r="DN99" s="35">
        <v>911</v>
      </c>
      <c r="DO99" s="35"/>
      <c r="DP99" s="35"/>
      <c r="DQ99" s="35"/>
      <c r="DR99" s="35">
        <f t="shared" si="329"/>
        <v>32031</v>
      </c>
      <c r="DS99" s="35">
        <f t="shared" si="330"/>
        <v>122295</v>
      </c>
      <c r="DT99" s="35"/>
      <c r="DU99" s="35"/>
      <c r="DV99" s="35"/>
      <c r="DW99" s="35"/>
      <c r="DX99" s="35"/>
      <c r="DY99" s="35"/>
      <c r="DZ99" s="35">
        <v>33170</v>
      </c>
      <c r="EA99" s="35">
        <v>750</v>
      </c>
      <c r="EB99" s="35">
        <v>995</v>
      </c>
      <c r="EC99" s="35"/>
      <c r="ED99" s="35"/>
      <c r="EE99" s="35"/>
      <c r="EF99" s="35">
        <f t="shared" si="331"/>
        <v>34915</v>
      </c>
      <c r="EG99" s="35"/>
      <c r="EH99" s="35"/>
      <c r="EI99" s="35"/>
      <c r="EJ99" s="35"/>
      <c r="EK99" s="35"/>
      <c r="EL99" s="35"/>
      <c r="EM99" s="35">
        <v>33170</v>
      </c>
      <c r="EN99" s="35">
        <v>750</v>
      </c>
      <c r="EO99" s="35">
        <v>995</v>
      </c>
      <c r="EP99" s="35"/>
      <c r="EQ99" s="35"/>
      <c r="ER99" s="35"/>
      <c r="ES99" s="35">
        <f t="shared" si="324"/>
        <v>34915</v>
      </c>
      <c r="ET99" s="35"/>
      <c r="EU99" s="35"/>
      <c r="EV99" s="35"/>
      <c r="EW99" s="35"/>
      <c r="EX99" s="35"/>
      <c r="EY99" s="35"/>
      <c r="EZ99" s="35">
        <v>33170</v>
      </c>
      <c r="FA99" s="35">
        <v>750</v>
      </c>
      <c r="FB99" s="35">
        <v>995</v>
      </c>
      <c r="FC99" s="35"/>
      <c r="FD99" s="35"/>
      <c r="FE99" s="35"/>
      <c r="FF99" s="35">
        <f t="shared" si="332"/>
        <v>34915</v>
      </c>
      <c r="FG99" s="35">
        <f t="shared" si="333"/>
        <v>104745</v>
      </c>
      <c r="FH99" s="35">
        <f t="shared" si="334"/>
        <v>410328</v>
      </c>
    </row>
    <row r="100" spans="1:164" x14ac:dyDescent="0.35">
      <c r="A100" s="34"/>
      <c r="B100" s="40"/>
      <c r="C100" s="41" t="s">
        <v>191</v>
      </c>
      <c r="D100" s="35"/>
      <c r="E100" s="35"/>
      <c r="F100" s="35"/>
      <c r="G100" s="35"/>
      <c r="H100" s="35"/>
      <c r="I100" s="35"/>
      <c r="J100" s="35"/>
      <c r="K100" s="35"/>
      <c r="L100" s="35"/>
      <c r="M100" s="35">
        <v>21630</v>
      </c>
      <c r="N100" s="35">
        <v>750</v>
      </c>
      <c r="O100" s="35">
        <v>0</v>
      </c>
      <c r="P100" s="35">
        <f t="shared" si="325"/>
        <v>22380</v>
      </c>
      <c r="Q100" s="35"/>
      <c r="R100" s="35"/>
      <c r="S100" s="35"/>
      <c r="T100" s="35"/>
      <c r="U100" s="35"/>
      <c r="V100" s="35"/>
      <c r="W100" s="35"/>
      <c r="X100" s="35"/>
      <c r="Y100" s="35"/>
      <c r="Z100" s="35">
        <v>21630</v>
      </c>
      <c r="AA100" s="35">
        <v>750</v>
      </c>
      <c r="AB100" s="35">
        <v>0</v>
      </c>
      <c r="AC100" s="35">
        <f t="shared" si="318"/>
        <v>22380</v>
      </c>
      <c r="AD100" s="35"/>
      <c r="AE100" s="35"/>
      <c r="AF100" s="35"/>
      <c r="AG100" s="35"/>
      <c r="AH100" s="35"/>
      <c r="AI100" s="35"/>
      <c r="AJ100" s="35"/>
      <c r="AK100" s="35"/>
      <c r="AL100" s="35"/>
      <c r="AM100" s="35">
        <v>21630</v>
      </c>
      <c r="AN100" s="35">
        <v>750</v>
      </c>
      <c r="AO100" s="35">
        <v>0</v>
      </c>
      <c r="AP100" s="35">
        <f t="shared" si="319"/>
        <v>22380</v>
      </c>
      <c r="AQ100" s="35">
        <f t="shared" si="320"/>
        <v>67140</v>
      </c>
      <c r="AR100" s="35"/>
      <c r="AS100" s="35"/>
      <c r="AT100" s="35"/>
      <c r="AU100" s="35"/>
      <c r="AV100" s="35"/>
      <c r="AW100" s="35"/>
      <c r="AX100" s="35"/>
      <c r="AY100" s="35"/>
      <c r="AZ100" s="35"/>
      <c r="BA100" s="35">
        <v>21630</v>
      </c>
      <c r="BB100" s="35">
        <v>750</v>
      </c>
      <c r="BC100" s="35">
        <v>0</v>
      </c>
      <c r="BD100" s="35">
        <f t="shared" si="326"/>
        <v>22380</v>
      </c>
      <c r="BE100" s="35"/>
      <c r="BF100" s="35"/>
      <c r="BG100" s="35"/>
      <c r="BH100" s="35"/>
      <c r="BI100" s="35"/>
      <c r="BJ100" s="35"/>
      <c r="BK100" s="35"/>
      <c r="BL100" s="35"/>
      <c r="BM100" s="35"/>
      <c r="BN100" s="35">
        <v>21630</v>
      </c>
      <c r="BO100" s="35">
        <v>750</v>
      </c>
      <c r="BP100" s="35">
        <v>0</v>
      </c>
      <c r="BQ100" s="35">
        <f t="shared" si="321"/>
        <v>22380</v>
      </c>
      <c r="BR100" s="35"/>
      <c r="BS100" s="35"/>
      <c r="BT100" s="35"/>
      <c r="BU100" s="35"/>
      <c r="BV100" s="35"/>
      <c r="BW100" s="35"/>
      <c r="BX100" s="35"/>
      <c r="BY100" s="35"/>
      <c r="BZ100" s="35"/>
      <c r="CA100" s="35">
        <v>21630</v>
      </c>
      <c r="CB100" s="35">
        <v>750</v>
      </c>
      <c r="CC100" s="35">
        <v>0</v>
      </c>
      <c r="CD100" s="35">
        <f t="shared" si="322"/>
        <v>22380</v>
      </c>
      <c r="CE100" s="35">
        <f t="shared" si="327"/>
        <v>67140</v>
      </c>
      <c r="CF100" s="35"/>
      <c r="CG100" s="35"/>
      <c r="CH100" s="35"/>
      <c r="CI100" s="35"/>
      <c r="CJ100" s="35"/>
      <c r="CK100" s="35"/>
      <c r="CL100" s="35"/>
      <c r="CM100" s="35"/>
      <c r="CN100" s="35"/>
      <c r="CO100" s="35">
        <f>22720+(1090*6)</f>
        <v>29260</v>
      </c>
      <c r="CP100" s="35">
        <v>750</v>
      </c>
      <c r="CQ100" s="35">
        <v>0</v>
      </c>
      <c r="CR100" s="35">
        <f t="shared" si="328"/>
        <v>30010</v>
      </c>
      <c r="CS100" s="35"/>
      <c r="CT100" s="35"/>
      <c r="CU100" s="35"/>
      <c r="CV100" s="35"/>
      <c r="CW100" s="35"/>
      <c r="CX100" s="35"/>
      <c r="CY100" s="35"/>
      <c r="CZ100" s="35"/>
      <c r="DA100" s="35"/>
      <c r="DB100" s="35">
        <f>22720+1200*6</f>
        <v>29920</v>
      </c>
      <c r="DC100" s="35">
        <v>750</v>
      </c>
      <c r="DD100" s="35">
        <v>0</v>
      </c>
      <c r="DE100" s="35">
        <f t="shared" si="323"/>
        <v>30670</v>
      </c>
      <c r="DF100" s="35"/>
      <c r="DG100" s="35"/>
      <c r="DH100" s="35"/>
      <c r="DI100" s="35"/>
      <c r="DJ100" s="35"/>
      <c r="DK100" s="35"/>
      <c r="DL100" s="35"/>
      <c r="DM100" s="35"/>
      <c r="DN100" s="35"/>
      <c r="DO100" s="35">
        <v>22720</v>
      </c>
      <c r="DP100" s="35">
        <v>750</v>
      </c>
      <c r="DQ100" s="35">
        <v>0</v>
      </c>
      <c r="DR100" s="35">
        <f t="shared" si="329"/>
        <v>23470</v>
      </c>
      <c r="DS100" s="35">
        <f t="shared" si="330"/>
        <v>84150</v>
      </c>
      <c r="DT100" s="35"/>
      <c r="DU100" s="35"/>
      <c r="DV100" s="35"/>
      <c r="DW100" s="35"/>
      <c r="DX100" s="35"/>
      <c r="DY100" s="35"/>
      <c r="DZ100" s="35"/>
      <c r="EA100" s="35"/>
      <c r="EB100" s="35"/>
      <c r="EC100" s="35">
        <v>23920</v>
      </c>
      <c r="ED100" s="35">
        <v>750</v>
      </c>
      <c r="EE100" s="35">
        <v>0</v>
      </c>
      <c r="EF100" s="35">
        <f t="shared" si="331"/>
        <v>24670</v>
      </c>
      <c r="EG100" s="35"/>
      <c r="EH100" s="35"/>
      <c r="EI100" s="35"/>
      <c r="EJ100" s="35"/>
      <c r="EK100" s="35"/>
      <c r="EL100" s="35"/>
      <c r="EM100" s="35"/>
      <c r="EN100" s="35"/>
      <c r="EO100" s="35"/>
      <c r="EP100" s="35">
        <v>23920</v>
      </c>
      <c r="EQ100" s="35">
        <v>750</v>
      </c>
      <c r="ER100" s="35">
        <v>0</v>
      </c>
      <c r="ES100" s="35">
        <f t="shared" si="324"/>
        <v>24670</v>
      </c>
      <c r="ET100" s="35"/>
      <c r="EU100" s="35"/>
      <c r="EV100" s="35"/>
      <c r="EW100" s="35"/>
      <c r="EX100" s="35"/>
      <c r="EY100" s="35"/>
      <c r="EZ100" s="35"/>
      <c r="FA100" s="35"/>
      <c r="FB100" s="35"/>
      <c r="FC100" s="35">
        <v>23920</v>
      </c>
      <c r="FD100" s="35">
        <v>750</v>
      </c>
      <c r="FE100" s="35">
        <v>0</v>
      </c>
      <c r="FF100" s="35">
        <f t="shared" si="332"/>
        <v>24670</v>
      </c>
      <c r="FG100" s="35">
        <f t="shared" si="333"/>
        <v>74010</v>
      </c>
      <c r="FH100" s="35">
        <f t="shared" si="334"/>
        <v>292440</v>
      </c>
    </row>
    <row r="101" spans="1:164" x14ac:dyDescent="0.35">
      <c r="A101" s="34"/>
      <c r="B101" s="40"/>
      <c r="C101" s="41" t="s">
        <v>192</v>
      </c>
      <c r="D101" s="35"/>
      <c r="E101" s="35"/>
      <c r="F101" s="35"/>
      <c r="G101" s="35"/>
      <c r="H101" s="35"/>
      <c r="I101" s="35"/>
      <c r="J101" s="35">
        <v>27610</v>
      </c>
      <c r="K101" s="35">
        <v>750</v>
      </c>
      <c r="L101" s="35">
        <v>0</v>
      </c>
      <c r="M101" s="35"/>
      <c r="N101" s="35"/>
      <c r="O101" s="35"/>
      <c r="P101" s="35">
        <f t="shared" si="325"/>
        <v>28360</v>
      </c>
      <c r="Q101" s="35"/>
      <c r="R101" s="35"/>
      <c r="S101" s="35"/>
      <c r="T101" s="35"/>
      <c r="U101" s="35"/>
      <c r="V101" s="35"/>
      <c r="W101" s="35">
        <v>27610</v>
      </c>
      <c r="X101" s="35">
        <v>750</v>
      </c>
      <c r="Y101" s="35">
        <v>0</v>
      </c>
      <c r="Z101" s="35"/>
      <c r="AA101" s="35"/>
      <c r="AB101" s="35"/>
      <c r="AC101" s="35">
        <f t="shared" si="318"/>
        <v>28360</v>
      </c>
      <c r="AD101" s="35"/>
      <c r="AE101" s="35"/>
      <c r="AF101" s="35"/>
      <c r="AG101" s="35"/>
      <c r="AH101" s="35"/>
      <c r="AI101" s="35"/>
      <c r="AJ101" s="35">
        <v>27610</v>
      </c>
      <c r="AK101" s="35">
        <v>750</v>
      </c>
      <c r="AL101" s="35">
        <v>0</v>
      </c>
      <c r="AM101" s="35"/>
      <c r="AN101" s="35"/>
      <c r="AO101" s="35"/>
      <c r="AP101" s="35">
        <f t="shared" si="319"/>
        <v>28360</v>
      </c>
      <c r="AQ101" s="35">
        <f t="shared" si="320"/>
        <v>85080</v>
      </c>
      <c r="AR101" s="35"/>
      <c r="AS101" s="35"/>
      <c r="AT101" s="35"/>
      <c r="AU101" s="35"/>
      <c r="AV101" s="35"/>
      <c r="AW101" s="35"/>
      <c r="AX101" s="35">
        <v>27610</v>
      </c>
      <c r="AY101" s="35">
        <v>750</v>
      </c>
      <c r="AZ101" s="35">
        <f>1656+828</f>
        <v>2484</v>
      </c>
      <c r="BA101" s="35"/>
      <c r="BB101" s="35"/>
      <c r="BC101" s="35"/>
      <c r="BD101" s="35">
        <f t="shared" si="326"/>
        <v>30844</v>
      </c>
      <c r="BE101" s="35"/>
      <c r="BF101" s="35"/>
      <c r="BG101" s="35"/>
      <c r="BH101" s="35"/>
      <c r="BI101" s="35"/>
      <c r="BJ101" s="35"/>
      <c r="BK101" s="35">
        <v>27610</v>
      </c>
      <c r="BL101" s="35">
        <v>750</v>
      </c>
      <c r="BM101" s="35">
        <v>828</v>
      </c>
      <c r="BN101" s="35"/>
      <c r="BO101" s="35"/>
      <c r="BP101" s="35"/>
      <c r="BQ101" s="35">
        <f t="shared" si="321"/>
        <v>29188</v>
      </c>
      <c r="BR101" s="35"/>
      <c r="BS101" s="35"/>
      <c r="BT101" s="35"/>
      <c r="BU101" s="35"/>
      <c r="BV101" s="35"/>
      <c r="BW101" s="35"/>
      <c r="BX101" s="35">
        <v>27610</v>
      </c>
      <c r="BY101" s="35">
        <v>750</v>
      </c>
      <c r="BZ101" s="35">
        <v>828</v>
      </c>
      <c r="CA101" s="35"/>
      <c r="CB101" s="35"/>
      <c r="CC101" s="35"/>
      <c r="CD101" s="35">
        <f t="shared" si="322"/>
        <v>29188</v>
      </c>
      <c r="CE101" s="35">
        <f t="shared" si="327"/>
        <v>89220</v>
      </c>
      <c r="CF101" s="35"/>
      <c r="CG101" s="35"/>
      <c r="CH101" s="35"/>
      <c r="CI101" s="35"/>
      <c r="CJ101" s="35"/>
      <c r="CK101" s="35"/>
      <c r="CL101" s="35">
        <f>28970+(1360*6)</f>
        <v>37130</v>
      </c>
      <c r="CM101" s="35">
        <v>750</v>
      </c>
      <c r="CN101" s="35">
        <f>869+(41*5)</f>
        <v>1074</v>
      </c>
      <c r="CO101" s="35"/>
      <c r="CP101" s="35"/>
      <c r="CQ101" s="35"/>
      <c r="CR101" s="35">
        <f t="shared" si="328"/>
        <v>38954</v>
      </c>
      <c r="CS101" s="35"/>
      <c r="CT101" s="35"/>
      <c r="CU101" s="35"/>
      <c r="CV101" s="35"/>
      <c r="CW101" s="35"/>
      <c r="CX101" s="35"/>
      <c r="CY101" s="35">
        <f>28970+2800*6</f>
        <v>45770</v>
      </c>
      <c r="CZ101" s="35">
        <v>750</v>
      </c>
      <c r="DA101" s="35">
        <f>869+84*6</f>
        <v>1373</v>
      </c>
      <c r="DB101" s="35"/>
      <c r="DC101" s="35"/>
      <c r="DD101" s="35"/>
      <c r="DE101" s="35">
        <f t="shared" si="323"/>
        <v>47893</v>
      </c>
      <c r="DF101" s="35"/>
      <c r="DG101" s="35"/>
      <c r="DH101" s="35"/>
      <c r="DI101" s="35"/>
      <c r="DJ101" s="35"/>
      <c r="DK101" s="35"/>
      <c r="DL101" s="35">
        <v>28970</v>
      </c>
      <c r="DM101" s="35">
        <v>750</v>
      </c>
      <c r="DN101" s="35">
        <v>869</v>
      </c>
      <c r="DO101" s="35"/>
      <c r="DP101" s="35"/>
      <c r="DQ101" s="35"/>
      <c r="DR101" s="35">
        <f t="shared" si="329"/>
        <v>30589</v>
      </c>
      <c r="DS101" s="35">
        <f t="shared" si="330"/>
        <v>117436</v>
      </c>
      <c r="DT101" s="35"/>
      <c r="DU101" s="35"/>
      <c r="DV101" s="35"/>
      <c r="DW101" s="35"/>
      <c r="DX101" s="35"/>
      <c r="DY101" s="35"/>
      <c r="DZ101" s="35">
        <v>31770</v>
      </c>
      <c r="EA101" s="35">
        <v>750</v>
      </c>
      <c r="EB101" s="35">
        <v>953</v>
      </c>
      <c r="EC101" s="35"/>
      <c r="ED101" s="35"/>
      <c r="EE101" s="35"/>
      <c r="EF101" s="35">
        <f t="shared" si="331"/>
        <v>33473</v>
      </c>
      <c r="EG101" s="35"/>
      <c r="EH101" s="35"/>
      <c r="EI101" s="35"/>
      <c r="EJ101" s="35"/>
      <c r="EK101" s="35"/>
      <c r="EL101" s="35"/>
      <c r="EM101" s="35">
        <v>31770</v>
      </c>
      <c r="EN101" s="35">
        <v>750</v>
      </c>
      <c r="EO101" s="35">
        <v>953</v>
      </c>
      <c r="EP101" s="35"/>
      <c r="EQ101" s="35"/>
      <c r="ER101" s="35"/>
      <c r="ES101" s="35">
        <f t="shared" si="324"/>
        <v>33473</v>
      </c>
      <c r="ET101" s="35"/>
      <c r="EU101" s="35"/>
      <c r="EV101" s="35"/>
      <c r="EW101" s="35"/>
      <c r="EX101" s="35"/>
      <c r="EY101" s="35"/>
      <c r="EZ101" s="35">
        <v>31770</v>
      </c>
      <c r="FA101" s="35">
        <v>750</v>
      </c>
      <c r="FB101" s="35">
        <v>953</v>
      </c>
      <c r="FC101" s="35"/>
      <c r="FD101" s="35"/>
      <c r="FE101" s="35"/>
      <c r="FF101" s="35">
        <f t="shared" si="332"/>
        <v>33473</v>
      </c>
      <c r="FG101" s="35">
        <f t="shared" si="333"/>
        <v>100419</v>
      </c>
      <c r="FH101" s="35">
        <f t="shared" si="334"/>
        <v>392155</v>
      </c>
    </row>
    <row r="102" spans="1:164" x14ac:dyDescent="0.35">
      <c r="A102" s="34"/>
      <c r="B102" s="40"/>
      <c r="C102" s="41" t="s">
        <v>232</v>
      </c>
      <c r="D102" s="35"/>
      <c r="E102" s="35"/>
      <c r="F102" s="35"/>
      <c r="G102" s="35"/>
      <c r="H102" s="35"/>
      <c r="I102" s="35"/>
      <c r="J102" s="35">
        <v>27670</v>
      </c>
      <c r="K102" s="35">
        <v>750</v>
      </c>
      <c r="L102" s="35">
        <v>830</v>
      </c>
      <c r="M102" s="35"/>
      <c r="N102" s="35"/>
      <c r="O102" s="35"/>
      <c r="P102" s="35">
        <f t="shared" si="325"/>
        <v>29250</v>
      </c>
      <c r="Q102" s="35"/>
      <c r="R102" s="35"/>
      <c r="S102" s="35"/>
      <c r="T102" s="35"/>
      <c r="U102" s="35"/>
      <c r="V102" s="35"/>
      <c r="W102" s="35">
        <v>27670</v>
      </c>
      <c r="X102" s="35">
        <v>750</v>
      </c>
      <c r="Y102" s="35">
        <v>830</v>
      </c>
      <c r="Z102" s="35"/>
      <c r="AA102" s="35"/>
      <c r="AB102" s="35"/>
      <c r="AC102" s="35">
        <f t="shared" si="318"/>
        <v>29250</v>
      </c>
      <c r="AD102" s="35"/>
      <c r="AE102" s="35"/>
      <c r="AF102" s="35"/>
      <c r="AG102" s="35"/>
      <c r="AH102" s="35"/>
      <c r="AI102" s="35"/>
      <c r="AJ102" s="35">
        <v>27670</v>
      </c>
      <c r="AK102" s="35">
        <v>750</v>
      </c>
      <c r="AL102" s="35">
        <v>830</v>
      </c>
      <c r="AM102" s="35"/>
      <c r="AN102" s="35"/>
      <c r="AO102" s="35"/>
      <c r="AP102" s="35">
        <f t="shared" si="319"/>
        <v>29250</v>
      </c>
      <c r="AQ102" s="35">
        <f t="shared" si="320"/>
        <v>87750</v>
      </c>
      <c r="AR102" s="35"/>
      <c r="AS102" s="35"/>
      <c r="AT102" s="35"/>
      <c r="AU102" s="35"/>
      <c r="AV102" s="35"/>
      <c r="AW102" s="35"/>
      <c r="AX102" s="35">
        <v>27670</v>
      </c>
      <c r="AY102" s="35">
        <v>750</v>
      </c>
      <c r="AZ102" s="35">
        <v>830</v>
      </c>
      <c r="BA102" s="35"/>
      <c r="BB102" s="35"/>
      <c r="BC102" s="35"/>
      <c r="BD102" s="35">
        <f t="shared" si="326"/>
        <v>29250</v>
      </c>
      <c r="BE102" s="35"/>
      <c r="BF102" s="35"/>
      <c r="BG102" s="35"/>
      <c r="BH102" s="35"/>
      <c r="BI102" s="35"/>
      <c r="BJ102" s="35"/>
      <c r="BK102" s="35">
        <v>27670</v>
      </c>
      <c r="BL102" s="35">
        <v>750</v>
      </c>
      <c r="BM102" s="35">
        <v>830</v>
      </c>
      <c r="BN102" s="35"/>
      <c r="BO102" s="35"/>
      <c r="BP102" s="35"/>
      <c r="BQ102" s="35">
        <f t="shared" si="321"/>
        <v>29250</v>
      </c>
      <c r="BR102" s="35"/>
      <c r="BS102" s="35"/>
      <c r="BT102" s="35"/>
      <c r="BU102" s="35"/>
      <c r="BV102" s="35"/>
      <c r="BW102" s="35"/>
      <c r="BX102" s="35">
        <v>27670</v>
      </c>
      <c r="BY102" s="35">
        <v>750</v>
      </c>
      <c r="BZ102" s="35">
        <v>830</v>
      </c>
      <c r="CA102" s="35"/>
      <c r="CB102" s="35"/>
      <c r="CC102" s="35"/>
      <c r="CD102" s="35">
        <f t="shared" si="322"/>
        <v>29250</v>
      </c>
      <c r="CE102" s="35">
        <f t="shared" si="327"/>
        <v>87750</v>
      </c>
      <c r="CF102" s="35"/>
      <c r="CG102" s="35"/>
      <c r="CH102" s="35"/>
      <c r="CI102" s="35"/>
      <c r="CJ102" s="35"/>
      <c r="CK102" s="35"/>
      <c r="CL102" s="35">
        <f>29060+(1390*6)</f>
        <v>37400</v>
      </c>
      <c r="CM102" s="35">
        <v>750</v>
      </c>
      <c r="CN102" s="35">
        <f>872+(42*6)</f>
        <v>1124</v>
      </c>
      <c r="CO102" s="35"/>
      <c r="CP102" s="35"/>
      <c r="CQ102" s="35"/>
      <c r="CR102" s="35">
        <f t="shared" si="328"/>
        <v>39274</v>
      </c>
      <c r="CS102" s="35"/>
      <c r="CT102" s="35"/>
      <c r="CU102" s="35"/>
      <c r="CV102" s="35"/>
      <c r="CW102" s="35"/>
      <c r="CX102" s="35"/>
      <c r="CY102" s="35">
        <f>29060+2800*6</f>
        <v>45860</v>
      </c>
      <c r="CZ102" s="35">
        <v>750</v>
      </c>
      <c r="DA102" s="35">
        <f>872+84*6</f>
        <v>1376</v>
      </c>
      <c r="DB102" s="35"/>
      <c r="DC102" s="35"/>
      <c r="DD102" s="35"/>
      <c r="DE102" s="35">
        <f t="shared" si="323"/>
        <v>47986</v>
      </c>
      <c r="DF102" s="35"/>
      <c r="DG102" s="35"/>
      <c r="DH102" s="35"/>
      <c r="DI102" s="35"/>
      <c r="DJ102" s="35"/>
      <c r="DK102" s="35"/>
      <c r="DL102" s="35">
        <v>29060</v>
      </c>
      <c r="DM102" s="35">
        <v>750</v>
      </c>
      <c r="DN102" s="35">
        <v>872</v>
      </c>
      <c r="DO102" s="35"/>
      <c r="DP102" s="35"/>
      <c r="DQ102" s="35"/>
      <c r="DR102" s="35">
        <f t="shared" si="329"/>
        <v>30682</v>
      </c>
      <c r="DS102" s="35">
        <f t="shared" si="330"/>
        <v>117942</v>
      </c>
      <c r="DT102" s="35"/>
      <c r="DU102" s="35"/>
      <c r="DV102" s="35"/>
      <c r="DW102" s="35"/>
      <c r="DX102" s="35"/>
      <c r="DY102" s="35"/>
      <c r="DZ102" s="35">
        <v>31860</v>
      </c>
      <c r="EA102" s="35">
        <v>750</v>
      </c>
      <c r="EB102" s="35">
        <v>956</v>
      </c>
      <c r="EC102" s="35"/>
      <c r="ED102" s="35"/>
      <c r="EE102" s="35"/>
      <c r="EF102" s="35">
        <f t="shared" si="331"/>
        <v>33566</v>
      </c>
      <c r="EG102" s="35"/>
      <c r="EH102" s="35"/>
      <c r="EI102" s="35"/>
      <c r="EJ102" s="35"/>
      <c r="EK102" s="35"/>
      <c r="EL102" s="35"/>
      <c r="EM102" s="35">
        <v>31860</v>
      </c>
      <c r="EN102" s="35">
        <v>750</v>
      </c>
      <c r="EO102" s="35">
        <v>956</v>
      </c>
      <c r="EP102" s="35"/>
      <c r="EQ102" s="35"/>
      <c r="ER102" s="35"/>
      <c r="ES102" s="35">
        <f t="shared" si="324"/>
        <v>33566</v>
      </c>
      <c r="ET102" s="35"/>
      <c r="EU102" s="35"/>
      <c r="EV102" s="35"/>
      <c r="EW102" s="35"/>
      <c r="EX102" s="35"/>
      <c r="EY102" s="35"/>
      <c r="EZ102" s="35">
        <v>31860</v>
      </c>
      <c r="FA102" s="35">
        <v>750</v>
      </c>
      <c r="FB102" s="35">
        <v>956</v>
      </c>
      <c r="FC102" s="35"/>
      <c r="FD102" s="35"/>
      <c r="FE102" s="35"/>
      <c r="FF102" s="35">
        <f t="shared" si="332"/>
        <v>33566</v>
      </c>
      <c r="FG102" s="35">
        <f t="shared" si="333"/>
        <v>100698</v>
      </c>
      <c r="FH102" s="35">
        <f t="shared" si="334"/>
        <v>394140</v>
      </c>
    </row>
    <row r="103" spans="1:164" x14ac:dyDescent="0.35">
      <c r="A103" s="34"/>
      <c r="B103" s="40"/>
      <c r="C103" s="41" t="s">
        <v>193</v>
      </c>
      <c r="D103" s="35"/>
      <c r="E103" s="35"/>
      <c r="F103" s="35"/>
      <c r="G103" s="35"/>
      <c r="H103" s="35"/>
      <c r="I103" s="35"/>
      <c r="J103" s="35">
        <v>31620</v>
      </c>
      <c r="K103" s="35">
        <v>750</v>
      </c>
      <c r="L103" s="35">
        <v>949</v>
      </c>
      <c r="M103" s="35"/>
      <c r="N103" s="35"/>
      <c r="O103" s="35"/>
      <c r="P103" s="35">
        <f t="shared" si="325"/>
        <v>33319</v>
      </c>
      <c r="Q103" s="35"/>
      <c r="R103" s="35"/>
      <c r="S103" s="35"/>
      <c r="T103" s="35"/>
      <c r="U103" s="35"/>
      <c r="V103" s="35"/>
      <c r="W103" s="35">
        <v>31620</v>
      </c>
      <c r="X103" s="35">
        <v>750</v>
      </c>
      <c r="Y103" s="35">
        <v>949</v>
      </c>
      <c r="Z103" s="35"/>
      <c r="AA103" s="35"/>
      <c r="AB103" s="35"/>
      <c r="AC103" s="35">
        <f t="shared" si="318"/>
        <v>33319</v>
      </c>
      <c r="AD103" s="35"/>
      <c r="AE103" s="35"/>
      <c r="AF103" s="35"/>
      <c r="AG103" s="35"/>
      <c r="AH103" s="35"/>
      <c r="AI103" s="35"/>
      <c r="AJ103" s="35">
        <v>31620</v>
      </c>
      <c r="AK103" s="35">
        <v>750</v>
      </c>
      <c r="AL103" s="35">
        <v>949</v>
      </c>
      <c r="AM103" s="35"/>
      <c r="AN103" s="35"/>
      <c r="AO103" s="35"/>
      <c r="AP103" s="35">
        <f t="shared" si="319"/>
        <v>33319</v>
      </c>
      <c r="AQ103" s="35">
        <f t="shared" si="320"/>
        <v>99957</v>
      </c>
      <c r="AR103" s="35"/>
      <c r="AS103" s="35"/>
      <c r="AT103" s="35"/>
      <c r="AU103" s="35"/>
      <c r="AV103" s="35"/>
      <c r="AW103" s="35"/>
      <c r="AX103" s="35">
        <v>31620</v>
      </c>
      <c r="AY103" s="35">
        <v>750</v>
      </c>
      <c r="AZ103" s="35">
        <v>949</v>
      </c>
      <c r="BA103" s="35"/>
      <c r="BB103" s="35"/>
      <c r="BC103" s="35"/>
      <c r="BD103" s="35">
        <f t="shared" si="326"/>
        <v>33319</v>
      </c>
      <c r="BE103" s="35"/>
      <c r="BF103" s="35"/>
      <c r="BG103" s="35"/>
      <c r="BH103" s="35"/>
      <c r="BI103" s="35"/>
      <c r="BJ103" s="35"/>
      <c r="BK103" s="35">
        <v>31620</v>
      </c>
      <c r="BL103" s="35">
        <v>750</v>
      </c>
      <c r="BM103" s="35">
        <v>949</v>
      </c>
      <c r="BN103" s="35"/>
      <c r="BO103" s="35"/>
      <c r="BP103" s="35"/>
      <c r="BQ103" s="35">
        <f t="shared" si="321"/>
        <v>33319</v>
      </c>
      <c r="BR103" s="35"/>
      <c r="BS103" s="35"/>
      <c r="BT103" s="35"/>
      <c r="BU103" s="35"/>
      <c r="BV103" s="35"/>
      <c r="BW103" s="35"/>
      <c r="BX103" s="35">
        <v>31620</v>
      </c>
      <c r="BY103" s="35">
        <v>750</v>
      </c>
      <c r="BZ103" s="35">
        <v>949</v>
      </c>
      <c r="CA103" s="35"/>
      <c r="CB103" s="35"/>
      <c r="CC103" s="35"/>
      <c r="CD103" s="35">
        <f t="shared" si="322"/>
        <v>33319</v>
      </c>
      <c r="CE103" s="35">
        <f t="shared" si="327"/>
        <v>99957</v>
      </c>
      <c r="CF103" s="35"/>
      <c r="CG103" s="35"/>
      <c r="CH103" s="35"/>
      <c r="CI103" s="35"/>
      <c r="CJ103" s="35"/>
      <c r="CK103" s="35"/>
      <c r="CL103" s="35">
        <f>33210+(1590*6)</f>
        <v>42750</v>
      </c>
      <c r="CM103" s="35">
        <v>750</v>
      </c>
      <c r="CN103" s="35">
        <f>996+(48*6)</f>
        <v>1284</v>
      </c>
      <c r="CO103" s="35"/>
      <c r="CP103" s="35"/>
      <c r="CQ103" s="35"/>
      <c r="CR103" s="35">
        <f t="shared" si="328"/>
        <v>44784</v>
      </c>
      <c r="CS103" s="35"/>
      <c r="CT103" s="35"/>
      <c r="CU103" s="35"/>
      <c r="CV103" s="35"/>
      <c r="CW103" s="35"/>
      <c r="CX103" s="35"/>
      <c r="CY103" s="35">
        <f>33210+3360*6</f>
        <v>53370</v>
      </c>
      <c r="CZ103" s="35">
        <v>750</v>
      </c>
      <c r="DA103" s="35">
        <f>996+101*6</f>
        <v>1602</v>
      </c>
      <c r="DB103" s="35"/>
      <c r="DC103" s="35"/>
      <c r="DD103" s="35"/>
      <c r="DE103" s="35">
        <f t="shared" si="323"/>
        <v>55722</v>
      </c>
      <c r="DF103" s="35"/>
      <c r="DG103" s="35"/>
      <c r="DH103" s="35"/>
      <c r="DI103" s="35"/>
      <c r="DJ103" s="35"/>
      <c r="DK103" s="35"/>
      <c r="DL103" s="35">
        <v>33210</v>
      </c>
      <c r="DM103" s="35">
        <v>750</v>
      </c>
      <c r="DN103" s="35">
        <v>996</v>
      </c>
      <c r="DO103" s="35"/>
      <c r="DP103" s="35"/>
      <c r="DQ103" s="35"/>
      <c r="DR103" s="35">
        <f t="shared" si="329"/>
        <v>34956</v>
      </c>
      <c r="DS103" s="35">
        <f t="shared" si="330"/>
        <v>135462</v>
      </c>
      <c r="DT103" s="35"/>
      <c r="DU103" s="35"/>
      <c r="DV103" s="35"/>
      <c r="DW103" s="35"/>
      <c r="DX103" s="35"/>
      <c r="DY103" s="35"/>
      <c r="DZ103" s="35">
        <v>36570</v>
      </c>
      <c r="EA103" s="35">
        <v>750</v>
      </c>
      <c r="EB103" s="35">
        <v>1097</v>
      </c>
      <c r="EC103" s="35"/>
      <c r="ED103" s="35"/>
      <c r="EE103" s="35"/>
      <c r="EF103" s="35">
        <f t="shared" si="331"/>
        <v>38417</v>
      </c>
      <c r="EG103" s="35"/>
      <c r="EH103" s="35"/>
      <c r="EI103" s="35"/>
      <c r="EJ103" s="35"/>
      <c r="EK103" s="35"/>
      <c r="EL103" s="35"/>
      <c r="EM103" s="35">
        <v>36570</v>
      </c>
      <c r="EN103" s="35">
        <v>750</v>
      </c>
      <c r="EO103" s="35">
        <v>1097</v>
      </c>
      <c r="EP103" s="35"/>
      <c r="EQ103" s="35"/>
      <c r="ER103" s="35"/>
      <c r="ES103" s="35">
        <f t="shared" si="324"/>
        <v>38417</v>
      </c>
      <c r="ET103" s="35"/>
      <c r="EU103" s="35"/>
      <c r="EV103" s="35"/>
      <c r="EW103" s="35"/>
      <c r="EX103" s="35"/>
      <c r="EY103" s="35"/>
      <c r="EZ103" s="35">
        <v>36570</v>
      </c>
      <c r="FA103" s="35">
        <v>750</v>
      </c>
      <c r="FB103" s="35">
        <v>1097</v>
      </c>
      <c r="FC103" s="35"/>
      <c r="FD103" s="35"/>
      <c r="FE103" s="35"/>
      <c r="FF103" s="35">
        <f t="shared" si="332"/>
        <v>38417</v>
      </c>
      <c r="FG103" s="35">
        <f t="shared" si="333"/>
        <v>115251</v>
      </c>
      <c r="FH103" s="35">
        <f t="shared" si="334"/>
        <v>450627</v>
      </c>
    </row>
    <row r="104" spans="1:164" x14ac:dyDescent="0.35">
      <c r="A104" s="34"/>
      <c r="B104" s="40"/>
      <c r="C104" s="41" t="s">
        <v>194</v>
      </c>
      <c r="D104" s="35"/>
      <c r="E104" s="35"/>
      <c r="F104" s="35"/>
      <c r="G104" s="35"/>
      <c r="H104" s="35"/>
      <c r="I104" s="35"/>
      <c r="J104" s="35">
        <v>32890</v>
      </c>
      <c r="K104" s="35">
        <v>750</v>
      </c>
      <c r="L104" s="35">
        <v>987</v>
      </c>
      <c r="M104" s="35"/>
      <c r="N104" s="35"/>
      <c r="O104" s="35"/>
      <c r="P104" s="35">
        <f t="shared" si="325"/>
        <v>34627</v>
      </c>
      <c r="Q104" s="35"/>
      <c r="R104" s="35"/>
      <c r="S104" s="35"/>
      <c r="T104" s="35"/>
      <c r="U104" s="35"/>
      <c r="V104" s="35"/>
      <c r="W104" s="35">
        <v>32890</v>
      </c>
      <c r="X104" s="35">
        <v>750</v>
      </c>
      <c r="Y104" s="35">
        <v>987</v>
      </c>
      <c r="Z104" s="35"/>
      <c r="AA104" s="35"/>
      <c r="AB104" s="35"/>
      <c r="AC104" s="35">
        <f t="shared" si="318"/>
        <v>34627</v>
      </c>
      <c r="AD104" s="35"/>
      <c r="AE104" s="35"/>
      <c r="AF104" s="35"/>
      <c r="AG104" s="35"/>
      <c r="AH104" s="35"/>
      <c r="AI104" s="35"/>
      <c r="AJ104" s="35">
        <v>32890</v>
      </c>
      <c r="AK104" s="35">
        <v>750</v>
      </c>
      <c r="AL104" s="35">
        <v>987</v>
      </c>
      <c r="AM104" s="35"/>
      <c r="AN104" s="35"/>
      <c r="AO104" s="35"/>
      <c r="AP104" s="35">
        <f t="shared" si="319"/>
        <v>34627</v>
      </c>
      <c r="AQ104" s="35">
        <f t="shared" si="320"/>
        <v>103881</v>
      </c>
      <c r="AR104" s="35"/>
      <c r="AS104" s="35"/>
      <c r="AT104" s="35"/>
      <c r="AU104" s="35"/>
      <c r="AV104" s="35"/>
      <c r="AW104" s="35"/>
      <c r="AX104" s="35">
        <v>32890</v>
      </c>
      <c r="AY104" s="35">
        <v>750</v>
      </c>
      <c r="AZ104" s="35">
        <v>987</v>
      </c>
      <c r="BA104" s="35"/>
      <c r="BB104" s="35"/>
      <c r="BC104" s="35"/>
      <c r="BD104" s="35">
        <f t="shared" si="326"/>
        <v>34627</v>
      </c>
      <c r="BE104" s="35"/>
      <c r="BF104" s="35"/>
      <c r="BG104" s="35"/>
      <c r="BH104" s="35"/>
      <c r="BI104" s="35"/>
      <c r="BJ104" s="35"/>
      <c r="BK104" s="35">
        <v>32890</v>
      </c>
      <c r="BL104" s="35">
        <v>750</v>
      </c>
      <c r="BM104" s="35">
        <v>987</v>
      </c>
      <c r="BN104" s="35"/>
      <c r="BO104" s="35"/>
      <c r="BP104" s="35"/>
      <c r="BQ104" s="35">
        <f t="shared" si="321"/>
        <v>34627</v>
      </c>
      <c r="BR104" s="35"/>
      <c r="BS104" s="35"/>
      <c r="BT104" s="35"/>
      <c r="BU104" s="35"/>
      <c r="BV104" s="35"/>
      <c r="BW104" s="35"/>
      <c r="BX104" s="35">
        <v>32890</v>
      </c>
      <c r="BY104" s="35">
        <v>750</v>
      </c>
      <c r="BZ104" s="35">
        <v>987</v>
      </c>
      <c r="CA104" s="35"/>
      <c r="CB104" s="35"/>
      <c r="CC104" s="35"/>
      <c r="CD104" s="35">
        <f t="shared" si="322"/>
        <v>34627</v>
      </c>
      <c r="CE104" s="35">
        <f t="shared" si="327"/>
        <v>103881</v>
      </c>
      <c r="CF104" s="35"/>
      <c r="CG104" s="35"/>
      <c r="CH104" s="35"/>
      <c r="CI104" s="35"/>
      <c r="CJ104" s="35"/>
      <c r="CK104" s="35"/>
      <c r="CL104" s="35">
        <f>34540+(1650*6)</f>
        <v>44440</v>
      </c>
      <c r="CM104" s="35">
        <v>750</v>
      </c>
      <c r="CN104" s="35">
        <f>1036+(50*6)</f>
        <v>1336</v>
      </c>
      <c r="CO104" s="35"/>
      <c r="CP104" s="35"/>
      <c r="CQ104" s="35"/>
      <c r="CR104" s="35">
        <f t="shared" si="328"/>
        <v>46526</v>
      </c>
      <c r="CS104" s="35"/>
      <c r="CT104" s="35"/>
      <c r="CU104" s="35"/>
      <c r="CV104" s="35"/>
      <c r="CW104" s="35"/>
      <c r="CX104" s="35"/>
      <c r="CY104" s="35">
        <f>34540+3360*6</f>
        <v>54700</v>
      </c>
      <c r="CZ104" s="35">
        <v>750</v>
      </c>
      <c r="DA104" s="35">
        <f>1036+101*6</f>
        <v>1642</v>
      </c>
      <c r="DB104" s="35"/>
      <c r="DC104" s="35"/>
      <c r="DD104" s="35"/>
      <c r="DE104" s="35">
        <f t="shared" si="323"/>
        <v>57092</v>
      </c>
      <c r="DF104" s="35"/>
      <c r="DG104" s="35"/>
      <c r="DH104" s="35"/>
      <c r="DI104" s="35"/>
      <c r="DJ104" s="35"/>
      <c r="DK104" s="35"/>
      <c r="DL104" s="35">
        <v>34540</v>
      </c>
      <c r="DM104" s="35">
        <v>750</v>
      </c>
      <c r="DN104" s="35">
        <v>1036</v>
      </c>
      <c r="DO104" s="35"/>
      <c r="DP104" s="35"/>
      <c r="DQ104" s="35"/>
      <c r="DR104" s="35">
        <f t="shared" si="329"/>
        <v>36326</v>
      </c>
      <c r="DS104" s="35">
        <f t="shared" si="330"/>
        <v>139944</v>
      </c>
      <c r="DT104" s="35"/>
      <c r="DU104" s="35"/>
      <c r="DV104" s="35"/>
      <c r="DW104" s="35"/>
      <c r="DX104" s="35"/>
      <c r="DY104" s="35"/>
      <c r="DZ104" s="35">
        <v>37900</v>
      </c>
      <c r="EA104" s="35">
        <v>750</v>
      </c>
      <c r="EB104" s="35">
        <v>1137</v>
      </c>
      <c r="EC104" s="35"/>
      <c r="ED104" s="35"/>
      <c r="EE104" s="35"/>
      <c r="EF104" s="35">
        <f t="shared" si="331"/>
        <v>39787</v>
      </c>
      <c r="EG104" s="35"/>
      <c r="EH104" s="35"/>
      <c r="EI104" s="35"/>
      <c r="EJ104" s="35"/>
      <c r="EK104" s="35"/>
      <c r="EL104" s="35"/>
      <c r="EM104" s="35">
        <v>37900</v>
      </c>
      <c r="EN104" s="35">
        <v>750</v>
      </c>
      <c r="EO104" s="35">
        <v>1137</v>
      </c>
      <c r="EP104" s="35"/>
      <c r="EQ104" s="35"/>
      <c r="ER104" s="35"/>
      <c r="ES104" s="35">
        <f t="shared" si="324"/>
        <v>39787</v>
      </c>
      <c r="ET104" s="35"/>
      <c r="EU104" s="35"/>
      <c r="EV104" s="35"/>
      <c r="EW104" s="35"/>
      <c r="EX104" s="35"/>
      <c r="EY104" s="35"/>
      <c r="EZ104" s="35">
        <v>37900</v>
      </c>
      <c r="FA104" s="35">
        <v>750</v>
      </c>
      <c r="FB104" s="35">
        <v>1137</v>
      </c>
      <c r="FC104" s="35"/>
      <c r="FD104" s="35"/>
      <c r="FE104" s="35"/>
      <c r="FF104" s="35">
        <f t="shared" si="332"/>
        <v>39787</v>
      </c>
      <c r="FG104" s="35">
        <f t="shared" si="333"/>
        <v>119361</v>
      </c>
      <c r="FH104" s="35">
        <f t="shared" si="334"/>
        <v>467067</v>
      </c>
    </row>
    <row r="105" spans="1:164" x14ac:dyDescent="0.35">
      <c r="A105" s="34"/>
      <c r="B105" s="40"/>
      <c r="C105" s="41" t="s">
        <v>195</v>
      </c>
      <c r="D105" s="35"/>
      <c r="E105" s="35"/>
      <c r="F105" s="35"/>
      <c r="G105" s="35"/>
      <c r="H105" s="35"/>
      <c r="I105" s="35"/>
      <c r="J105" s="35">
        <v>32890</v>
      </c>
      <c r="K105" s="35">
        <v>750</v>
      </c>
      <c r="L105" s="35">
        <v>987</v>
      </c>
      <c r="M105" s="35"/>
      <c r="N105" s="35"/>
      <c r="O105" s="35"/>
      <c r="P105" s="35">
        <f t="shared" si="325"/>
        <v>34627</v>
      </c>
      <c r="Q105" s="35"/>
      <c r="R105" s="35"/>
      <c r="S105" s="35"/>
      <c r="T105" s="35"/>
      <c r="U105" s="35"/>
      <c r="V105" s="35"/>
      <c r="W105" s="35">
        <v>32890</v>
      </c>
      <c r="X105" s="35">
        <v>750</v>
      </c>
      <c r="Y105" s="35">
        <v>987</v>
      </c>
      <c r="Z105" s="35"/>
      <c r="AA105" s="35"/>
      <c r="AB105" s="35"/>
      <c r="AC105" s="35">
        <f t="shared" si="318"/>
        <v>34627</v>
      </c>
      <c r="AD105" s="35"/>
      <c r="AE105" s="35"/>
      <c r="AF105" s="35"/>
      <c r="AG105" s="35"/>
      <c r="AH105" s="35"/>
      <c r="AI105" s="35"/>
      <c r="AJ105" s="35">
        <v>32890</v>
      </c>
      <c r="AK105" s="35">
        <v>750</v>
      </c>
      <c r="AL105" s="35">
        <v>987</v>
      </c>
      <c r="AM105" s="35"/>
      <c r="AN105" s="35"/>
      <c r="AO105" s="35"/>
      <c r="AP105" s="35">
        <f t="shared" si="319"/>
        <v>34627</v>
      </c>
      <c r="AQ105" s="35">
        <f t="shared" si="320"/>
        <v>103881</v>
      </c>
      <c r="AR105" s="35"/>
      <c r="AS105" s="35"/>
      <c r="AT105" s="35"/>
      <c r="AU105" s="35"/>
      <c r="AV105" s="35"/>
      <c r="AW105" s="35"/>
      <c r="AX105" s="35">
        <v>32890</v>
      </c>
      <c r="AY105" s="35">
        <v>750</v>
      </c>
      <c r="AZ105" s="35">
        <v>987</v>
      </c>
      <c r="BA105" s="35"/>
      <c r="BB105" s="35"/>
      <c r="BC105" s="35"/>
      <c r="BD105" s="35">
        <f t="shared" si="326"/>
        <v>34627</v>
      </c>
      <c r="BE105" s="35"/>
      <c r="BF105" s="35"/>
      <c r="BG105" s="35"/>
      <c r="BH105" s="35"/>
      <c r="BI105" s="35"/>
      <c r="BJ105" s="35"/>
      <c r="BK105" s="35">
        <v>32890</v>
      </c>
      <c r="BL105" s="35">
        <v>750</v>
      </c>
      <c r="BM105" s="35">
        <v>987</v>
      </c>
      <c r="BN105" s="35"/>
      <c r="BO105" s="35"/>
      <c r="BP105" s="35"/>
      <c r="BQ105" s="35">
        <f t="shared" si="321"/>
        <v>34627</v>
      </c>
      <c r="BR105" s="35"/>
      <c r="BS105" s="35"/>
      <c r="BT105" s="35"/>
      <c r="BU105" s="35"/>
      <c r="BV105" s="35"/>
      <c r="BW105" s="35"/>
      <c r="BX105" s="35">
        <v>32890</v>
      </c>
      <c r="BY105" s="35">
        <v>750</v>
      </c>
      <c r="BZ105" s="35">
        <v>987</v>
      </c>
      <c r="CA105" s="35"/>
      <c r="CB105" s="35"/>
      <c r="CC105" s="35"/>
      <c r="CD105" s="35">
        <f t="shared" si="322"/>
        <v>34627</v>
      </c>
      <c r="CE105" s="35">
        <f t="shared" si="327"/>
        <v>103881</v>
      </c>
      <c r="CF105" s="35"/>
      <c r="CG105" s="35"/>
      <c r="CH105" s="35"/>
      <c r="CI105" s="35"/>
      <c r="CJ105" s="35"/>
      <c r="CK105" s="35"/>
      <c r="CL105" s="35">
        <f>34540+(1650*6)</f>
        <v>44440</v>
      </c>
      <c r="CM105" s="35">
        <v>750</v>
      </c>
      <c r="CN105" s="35">
        <f>1036+(50*6)</f>
        <v>1336</v>
      </c>
      <c r="CO105" s="35"/>
      <c r="CP105" s="35"/>
      <c r="CQ105" s="35"/>
      <c r="CR105" s="35">
        <f t="shared" si="328"/>
        <v>46526</v>
      </c>
      <c r="CS105" s="35"/>
      <c r="CT105" s="35"/>
      <c r="CU105" s="35"/>
      <c r="CV105" s="35"/>
      <c r="CW105" s="35"/>
      <c r="CX105" s="35"/>
      <c r="CY105" s="35">
        <f>34540+3360*6</f>
        <v>54700</v>
      </c>
      <c r="CZ105" s="35">
        <v>750</v>
      </c>
      <c r="DA105" s="35">
        <f>1036+101*6</f>
        <v>1642</v>
      </c>
      <c r="DB105" s="35"/>
      <c r="DC105" s="35"/>
      <c r="DD105" s="35"/>
      <c r="DE105" s="35">
        <f t="shared" si="323"/>
        <v>57092</v>
      </c>
      <c r="DF105" s="35"/>
      <c r="DG105" s="35"/>
      <c r="DH105" s="35"/>
      <c r="DI105" s="35"/>
      <c r="DJ105" s="35"/>
      <c r="DK105" s="35"/>
      <c r="DL105" s="35">
        <v>34540</v>
      </c>
      <c r="DM105" s="35">
        <v>750</v>
      </c>
      <c r="DN105" s="35">
        <v>1036</v>
      </c>
      <c r="DO105" s="35"/>
      <c r="DP105" s="35"/>
      <c r="DQ105" s="35"/>
      <c r="DR105" s="35">
        <f t="shared" si="329"/>
        <v>36326</v>
      </c>
      <c r="DS105" s="35">
        <f t="shared" si="330"/>
        <v>139944</v>
      </c>
      <c r="DT105" s="35"/>
      <c r="DU105" s="35"/>
      <c r="DV105" s="35"/>
      <c r="DW105" s="35"/>
      <c r="DX105" s="35"/>
      <c r="DY105" s="35"/>
      <c r="DZ105" s="35">
        <v>37900</v>
      </c>
      <c r="EA105" s="35">
        <v>750</v>
      </c>
      <c r="EB105" s="35">
        <v>1137</v>
      </c>
      <c r="EC105" s="35"/>
      <c r="ED105" s="35"/>
      <c r="EE105" s="35"/>
      <c r="EF105" s="35">
        <f t="shared" si="331"/>
        <v>39787</v>
      </c>
      <c r="EG105" s="35"/>
      <c r="EH105" s="35"/>
      <c r="EI105" s="35"/>
      <c r="EJ105" s="35"/>
      <c r="EK105" s="35"/>
      <c r="EL105" s="35"/>
      <c r="EM105" s="35">
        <v>37900</v>
      </c>
      <c r="EN105" s="35">
        <v>750</v>
      </c>
      <c r="EO105" s="35">
        <v>1137</v>
      </c>
      <c r="EP105" s="35"/>
      <c r="EQ105" s="35"/>
      <c r="ER105" s="35"/>
      <c r="ES105" s="35">
        <f t="shared" si="324"/>
        <v>39787</v>
      </c>
      <c r="ET105" s="35"/>
      <c r="EU105" s="35"/>
      <c r="EV105" s="35"/>
      <c r="EW105" s="35"/>
      <c r="EX105" s="35"/>
      <c r="EY105" s="35"/>
      <c r="EZ105" s="35">
        <v>37900</v>
      </c>
      <c r="FA105" s="35">
        <v>750</v>
      </c>
      <c r="FB105" s="35">
        <v>1137</v>
      </c>
      <c r="FC105" s="35"/>
      <c r="FD105" s="35"/>
      <c r="FE105" s="35"/>
      <c r="FF105" s="35">
        <f t="shared" si="332"/>
        <v>39787</v>
      </c>
      <c r="FG105" s="35">
        <f t="shared" si="333"/>
        <v>119361</v>
      </c>
      <c r="FH105" s="35">
        <f t="shared" si="334"/>
        <v>467067</v>
      </c>
    </row>
    <row r="106" spans="1:164" x14ac:dyDescent="0.35">
      <c r="A106" s="34"/>
      <c r="B106" s="40"/>
      <c r="C106" s="41" t="s">
        <v>196</v>
      </c>
      <c r="D106" s="35"/>
      <c r="E106" s="35"/>
      <c r="F106" s="35"/>
      <c r="G106" s="35"/>
      <c r="H106" s="35"/>
      <c r="I106" s="35"/>
      <c r="J106" s="35">
        <v>32890</v>
      </c>
      <c r="K106" s="35">
        <v>750</v>
      </c>
      <c r="L106" s="35">
        <v>987</v>
      </c>
      <c r="M106" s="35"/>
      <c r="N106" s="35"/>
      <c r="O106" s="35"/>
      <c r="P106" s="35">
        <f t="shared" si="325"/>
        <v>34627</v>
      </c>
      <c r="Q106" s="35"/>
      <c r="R106" s="35"/>
      <c r="S106" s="35"/>
      <c r="T106" s="35"/>
      <c r="U106" s="35"/>
      <c r="V106" s="35"/>
      <c r="W106" s="35">
        <v>32890</v>
      </c>
      <c r="X106" s="35">
        <v>750</v>
      </c>
      <c r="Y106" s="35">
        <v>987</v>
      </c>
      <c r="Z106" s="35"/>
      <c r="AA106" s="35"/>
      <c r="AB106" s="35"/>
      <c r="AC106" s="35">
        <f t="shared" si="318"/>
        <v>34627</v>
      </c>
      <c r="AD106" s="35"/>
      <c r="AE106" s="35"/>
      <c r="AF106" s="35"/>
      <c r="AG106" s="35"/>
      <c r="AH106" s="35"/>
      <c r="AI106" s="35"/>
      <c r="AJ106" s="35">
        <v>32890</v>
      </c>
      <c r="AK106" s="35">
        <v>750</v>
      </c>
      <c r="AL106" s="35">
        <v>987</v>
      </c>
      <c r="AM106" s="35"/>
      <c r="AN106" s="35"/>
      <c r="AO106" s="35"/>
      <c r="AP106" s="35">
        <f t="shared" si="319"/>
        <v>34627</v>
      </c>
      <c r="AQ106" s="35">
        <f t="shared" si="320"/>
        <v>103881</v>
      </c>
      <c r="AR106" s="35"/>
      <c r="AS106" s="35"/>
      <c r="AT106" s="35"/>
      <c r="AU106" s="35"/>
      <c r="AV106" s="35"/>
      <c r="AW106" s="35"/>
      <c r="AX106" s="35">
        <v>32890</v>
      </c>
      <c r="AY106" s="35">
        <v>750</v>
      </c>
      <c r="AZ106" s="35">
        <v>987</v>
      </c>
      <c r="BA106" s="35"/>
      <c r="BB106" s="35"/>
      <c r="BC106" s="35"/>
      <c r="BD106" s="35">
        <f t="shared" si="326"/>
        <v>34627</v>
      </c>
      <c r="BE106" s="35"/>
      <c r="BF106" s="35"/>
      <c r="BG106" s="35"/>
      <c r="BH106" s="35"/>
      <c r="BI106" s="35"/>
      <c r="BJ106" s="35"/>
      <c r="BK106" s="35">
        <v>32890</v>
      </c>
      <c r="BL106" s="35">
        <v>750</v>
      </c>
      <c r="BM106" s="35">
        <v>987</v>
      </c>
      <c r="BN106" s="35"/>
      <c r="BO106" s="35"/>
      <c r="BP106" s="35"/>
      <c r="BQ106" s="35">
        <f t="shared" si="321"/>
        <v>34627</v>
      </c>
      <c r="BR106" s="35"/>
      <c r="BS106" s="35"/>
      <c r="BT106" s="35"/>
      <c r="BU106" s="35"/>
      <c r="BV106" s="35"/>
      <c r="BW106" s="35"/>
      <c r="BX106" s="35">
        <v>32890</v>
      </c>
      <c r="BY106" s="35">
        <v>750</v>
      </c>
      <c r="BZ106" s="35">
        <v>987</v>
      </c>
      <c r="CA106" s="35"/>
      <c r="CB106" s="35"/>
      <c r="CC106" s="35"/>
      <c r="CD106" s="35">
        <f t="shared" si="322"/>
        <v>34627</v>
      </c>
      <c r="CE106" s="35">
        <f t="shared" si="327"/>
        <v>103881</v>
      </c>
      <c r="CF106" s="35"/>
      <c r="CG106" s="35"/>
      <c r="CH106" s="35"/>
      <c r="CI106" s="35"/>
      <c r="CJ106" s="35"/>
      <c r="CK106" s="35"/>
      <c r="CL106" s="35">
        <f>34540+(1650*6)</f>
        <v>44440</v>
      </c>
      <c r="CM106" s="35">
        <v>750</v>
      </c>
      <c r="CN106" s="35">
        <f>1036+(50*6)</f>
        <v>1336</v>
      </c>
      <c r="CO106" s="35"/>
      <c r="CP106" s="35"/>
      <c r="CQ106" s="35"/>
      <c r="CR106" s="35">
        <f t="shared" si="328"/>
        <v>46526</v>
      </c>
      <c r="CS106" s="35"/>
      <c r="CT106" s="35"/>
      <c r="CU106" s="35"/>
      <c r="CV106" s="35"/>
      <c r="CW106" s="35"/>
      <c r="CX106" s="35"/>
      <c r="CY106" s="35">
        <f>34540+3300*6</f>
        <v>54340</v>
      </c>
      <c r="CZ106" s="35">
        <v>750</v>
      </c>
      <c r="DA106" s="35">
        <f>1036+99*6</f>
        <v>1630</v>
      </c>
      <c r="DB106" s="35"/>
      <c r="DC106" s="35"/>
      <c r="DD106" s="35"/>
      <c r="DE106" s="35">
        <f t="shared" si="323"/>
        <v>56720</v>
      </c>
      <c r="DF106" s="35"/>
      <c r="DG106" s="35"/>
      <c r="DH106" s="35"/>
      <c r="DI106" s="35"/>
      <c r="DJ106" s="35"/>
      <c r="DK106" s="35"/>
      <c r="DL106" s="35">
        <v>34540</v>
      </c>
      <c r="DM106" s="35">
        <v>750</v>
      </c>
      <c r="DN106" s="35">
        <v>1036</v>
      </c>
      <c r="DO106" s="35"/>
      <c r="DP106" s="35"/>
      <c r="DQ106" s="35"/>
      <c r="DR106" s="35">
        <f t="shared" si="329"/>
        <v>36326</v>
      </c>
      <c r="DS106" s="35">
        <f t="shared" si="330"/>
        <v>139572</v>
      </c>
      <c r="DT106" s="35"/>
      <c r="DU106" s="35"/>
      <c r="DV106" s="35"/>
      <c r="DW106" s="35"/>
      <c r="DX106" s="35"/>
      <c r="DY106" s="35"/>
      <c r="DZ106" s="35">
        <v>37840</v>
      </c>
      <c r="EA106" s="35">
        <v>750</v>
      </c>
      <c r="EB106" s="35">
        <v>1135</v>
      </c>
      <c r="EC106" s="35"/>
      <c r="ED106" s="35"/>
      <c r="EE106" s="35"/>
      <c r="EF106" s="35">
        <f t="shared" si="331"/>
        <v>39725</v>
      </c>
      <c r="EG106" s="35"/>
      <c r="EH106" s="35"/>
      <c r="EI106" s="35"/>
      <c r="EJ106" s="35"/>
      <c r="EK106" s="35"/>
      <c r="EL106" s="35"/>
      <c r="EM106" s="35">
        <v>37840</v>
      </c>
      <c r="EN106" s="35">
        <v>750</v>
      </c>
      <c r="EO106" s="35">
        <v>1135</v>
      </c>
      <c r="EP106" s="35"/>
      <c r="EQ106" s="35"/>
      <c r="ER106" s="35"/>
      <c r="ES106" s="35">
        <f t="shared" si="324"/>
        <v>39725</v>
      </c>
      <c r="ET106" s="35"/>
      <c r="EU106" s="35"/>
      <c r="EV106" s="35"/>
      <c r="EW106" s="35"/>
      <c r="EX106" s="35"/>
      <c r="EY106" s="35"/>
      <c r="EZ106" s="35">
        <v>37840</v>
      </c>
      <c r="FA106" s="35">
        <v>750</v>
      </c>
      <c r="FB106" s="35">
        <v>1135</v>
      </c>
      <c r="FC106" s="35"/>
      <c r="FD106" s="35"/>
      <c r="FE106" s="35"/>
      <c r="FF106" s="35">
        <f t="shared" si="332"/>
        <v>39725</v>
      </c>
      <c r="FG106" s="35">
        <f t="shared" si="333"/>
        <v>119175</v>
      </c>
      <c r="FH106" s="35">
        <f t="shared" si="334"/>
        <v>466509</v>
      </c>
    </row>
    <row r="107" spans="1:164" x14ac:dyDescent="0.35">
      <c r="A107" s="34"/>
      <c r="B107" s="40"/>
      <c r="C107" s="41" t="s">
        <v>233</v>
      </c>
      <c r="D107" s="35"/>
      <c r="E107" s="35"/>
      <c r="F107" s="35"/>
      <c r="G107" s="35"/>
      <c r="H107" s="35"/>
      <c r="I107" s="35"/>
      <c r="J107" s="35">
        <v>26100</v>
      </c>
      <c r="K107" s="35">
        <v>750</v>
      </c>
      <c r="L107" s="35">
        <v>783</v>
      </c>
      <c r="M107" s="35"/>
      <c r="N107" s="35"/>
      <c r="O107" s="35"/>
      <c r="P107" s="35">
        <f t="shared" si="325"/>
        <v>27633</v>
      </c>
      <c r="Q107" s="35"/>
      <c r="R107" s="35"/>
      <c r="S107" s="35"/>
      <c r="T107" s="35"/>
      <c r="U107" s="35"/>
      <c r="V107" s="35"/>
      <c r="W107" s="35">
        <v>26100</v>
      </c>
      <c r="X107" s="35">
        <v>750</v>
      </c>
      <c r="Y107" s="35">
        <v>783</v>
      </c>
      <c r="Z107" s="35"/>
      <c r="AA107" s="35"/>
      <c r="AB107" s="35"/>
      <c r="AC107" s="35">
        <f t="shared" si="318"/>
        <v>27633</v>
      </c>
      <c r="AD107" s="35"/>
      <c r="AE107" s="35"/>
      <c r="AF107" s="35"/>
      <c r="AG107" s="35"/>
      <c r="AH107" s="35"/>
      <c r="AI107" s="35"/>
      <c r="AJ107" s="35">
        <v>26100</v>
      </c>
      <c r="AK107" s="35">
        <v>750</v>
      </c>
      <c r="AL107" s="35">
        <v>783</v>
      </c>
      <c r="AM107" s="35"/>
      <c r="AN107" s="35"/>
      <c r="AO107" s="35"/>
      <c r="AP107" s="35">
        <f t="shared" si="319"/>
        <v>27633</v>
      </c>
      <c r="AQ107" s="35">
        <f t="shared" si="320"/>
        <v>82899</v>
      </c>
      <c r="AR107" s="35"/>
      <c r="AS107" s="35"/>
      <c r="AT107" s="35"/>
      <c r="AU107" s="35"/>
      <c r="AV107" s="35"/>
      <c r="AW107" s="35"/>
      <c r="AX107" s="35">
        <v>26100</v>
      </c>
      <c r="AY107" s="35">
        <v>750</v>
      </c>
      <c r="AZ107" s="35">
        <v>783</v>
      </c>
      <c r="BA107" s="35"/>
      <c r="BB107" s="35"/>
      <c r="BC107" s="35"/>
      <c r="BD107" s="35">
        <f t="shared" si="326"/>
        <v>27633</v>
      </c>
      <c r="BE107" s="35"/>
      <c r="BF107" s="35"/>
      <c r="BG107" s="35"/>
      <c r="BH107" s="35"/>
      <c r="BI107" s="35"/>
      <c r="BJ107" s="35"/>
      <c r="BK107" s="35">
        <v>26100</v>
      </c>
      <c r="BL107" s="35">
        <v>750</v>
      </c>
      <c r="BM107" s="35">
        <v>783</v>
      </c>
      <c r="BN107" s="35"/>
      <c r="BO107" s="35"/>
      <c r="BP107" s="35"/>
      <c r="BQ107" s="35">
        <f t="shared" si="321"/>
        <v>27633</v>
      </c>
      <c r="BR107" s="35"/>
      <c r="BS107" s="35"/>
      <c r="BT107" s="35"/>
      <c r="BU107" s="35"/>
      <c r="BV107" s="35"/>
      <c r="BW107" s="35"/>
      <c r="BX107" s="35">
        <v>26100</v>
      </c>
      <c r="BY107" s="35">
        <v>750</v>
      </c>
      <c r="BZ107" s="35">
        <v>783</v>
      </c>
      <c r="CA107" s="35"/>
      <c r="CB107" s="35"/>
      <c r="CC107" s="35"/>
      <c r="CD107" s="35">
        <f t="shared" si="322"/>
        <v>27633</v>
      </c>
      <c r="CE107" s="35">
        <f t="shared" si="327"/>
        <v>82899</v>
      </c>
      <c r="CF107" s="35"/>
      <c r="CG107" s="35"/>
      <c r="CH107" s="35"/>
      <c r="CI107" s="35"/>
      <c r="CJ107" s="35"/>
      <c r="CK107" s="35"/>
      <c r="CL107" s="35">
        <f>27410+(1310*6)</f>
        <v>35270</v>
      </c>
      <c r="CM107" s="35">
        <v>750</v>
      </c>
      <c r="CN107" s="35">
        <f>822+(39*6)</f>
        <v>1056</v>
      </c>
      <c r="CO107" s="35"/>
      <c r="CP107" s="35"/>
      <c r="CQ107" s="35"/>
      <c r="CR107" s="35">
        <f t="shared" si="328"/>
        <v>37076</v>
      </c>
      <c r="CS107" s="35"/>
      <c r="CT107" s="35"/>
      <c r="CU107" s="35"/>
      <c r="CV107" s="35"/>
      <c r="CW107" s="35"/>
      <c r="CX107" s="35"/>
      <c r="CY107" s="35">
        <f>27410+2450*6</f>
        <v>42110</v>
      </c>
      <c r="CZ107" s="35">
        <v>750</v>
      </c>
      <c r="DA107" s="35">
        <f>822+7*6</f>
        <v>864</v>
      </c>
      <c r="DB107" s="35"/>
      <c r="DC107" s="35"/>
      <c r="DD107" s="35"/>
      <c r="DE107" s="35">
        <f t="shared" si="323"/>
        <v>43724</v>
      </c>
      <c r="DF107" s="35"/>
      <c r="DG107" s="35"/>
      <c r="DH107" s="35"/>
      <c r="DI107" s="35"/>
      <c r="DJ107" s="35"/>
      <c r="DK107" s="35"/>
      <c r="DL107" s="35">
        <v>27410</v>
      </c>
      <c r="DM107" s="35">
        <v>750</v>
      </c>
      <c r="DN107" s="35">
        <v>822</v>
      </c>
      <c r="DO107" s="35"/>
      <c r="DP107" s="35"/>
      <c r="DQ107" s="35"/>
      <c r="DR107" s="35">
        <f t="shared" si="329"/>
        <v>28982</v>
      </c>
      <c r="DS107" s="35">
        <f t="shared" si="330"/>
        <v>109782</v>
      </c>
      <c r="DT107" s="35"/>
      <c r="DU107" s="35"/>
      <c r="DV107" s="35"/>
      <c r="DW107" s="35"/>
      <c r="DX107" s="35"/>
      <c r="DY107" s="35"/>
      <c r="DZ107" s="35">
        <v>29860</v>
      </c>
      <c r="EA107" s="35">
        <v>750</v>
      </c>
      <c r="EB107" s="35">
        <v>896</v>
      </c>
      <c r="EC107" s="35"/>
      <c r="ED107" s="35"/>
      <c r="EE107" s="35"/>
      <c r="EF107" s="35">
        <f t="shared" si="331"/>
        <v>31506</v>
      </c>
      <c r="EG107" s="35"/>
      <c r="EH107" s="35"/>
      <c r="EI107" s="35"/>
      <c r="EJ107" s="35"/>
      <c r="EK107" s="35"/>
      <c r="EL107" s="35"/>
      <c r="EM107" s="35">
        <v>29860</v>
      </c>
      <c r="EN107" s="35">
        <v>750</v>
      </c>
      <c r="EO107" s="35">
        <v>896</v>
      </c>
      <c r="EP107" s="35"/>
      <c r="EQ107" s="35"/>
      <c r="ER107" s="35"/>
      <c r="ES107" s="35">
        <f t="shared" si="324"/>
        <v>31506</v>
      </c>
      <c r="ET107" s="35"/>
      <c r="EU107" s="35"/>
      <c r="EV107" s="35"/>
      <c r="EW107" s="35"/>
      <c r="EX107" s="35"/>
      <c r="EY107" s="35"/>
      <c r="EZ107" s="35">
        <v>29860</v>
      </c>
      <c r="FA107" s="35">
        <v>750</v>
      </c>
      <c r="FB107" s="35">
        <v>896</v>
      </c>
      <c r="FC107" s="35"/>
      <c r="FD107" s="35"/>
      <c r="FE107" s="35"/>
      <c r="FF107" s="35">
        <f t="shared" si="332"/>
        <v>31506</v>
      </c>
      <c r="FG107" s="35">
        <f t="shared" si="333"/>
        <v>94518</v>
      </c>
      <c r="FH107" s="35">
        <f t="shared" si="334"/>
        <v>370098</v>
      </c>
    </row>
    <row r="108" spans="1:164" x14ac:dyDescent="0.35">
      <c r="A108" s="34"/>
      <c r="B108" s="40"/>
      <c r="C108" s="41" t="s">
        <v>197</v>
      </c>
      <c r="D108" s="35"/>
      <c r="E108" s="35"/>
      <c r="F108" s="35"/>
      <c r="G108" s="35"/>
      <c r="H108" s="35"/>
      <c r="I108" s="35"/>
      <c r="J108" s="35">
        <v>25810</v>
      </c>
      <c r="K108" s="35">
        <v>750</v>
      </c>
      <c r="L108" s="35">
        <v>774</v>
      </c>
      <c r="M108" s="35"/>
      <c r="N108" s="35"/>
      <c r="O108" s="35"/>
      <c r="P108" s="35">
        <f t="shared" si="325"/>
        <v>27334</v>
      </c>
      <c r="Q108" s="35"/>
      <c r="R108" s="35"/>
      <c r="S108" s="35"/>
      <c r="T108" s="35"/>
      <c r="U108" s="35"/>
      <c r="V108" s="35"/>
      <c r="W108" s="35">
        <v>25810</v>
      </c>
      <c r="X108" s="35">
        <v>750</v>
      </c>
      <c r="Y108" s="35">
        <v>774</v>
      </c>
      <c r="Z108" s="35"/>
      <c r="AA108" s="35"/>
      <c r="AB108" s="35"/>
      <c r="AC108" s="35">
        <f t="shared" si="318"/>
        <v>27334</v>
      </c>
      <c r="AD108" s="35"/>
      <c r="AE108" s="35"/>
      <c r="AF108" s="35"/>
      <c r="AG108" s="35"/>
      <c r="AH108" s="35"/>
      <c r="AI108" s="35"/>
      <c r="AJ108" s="35">
        <v>25810</v>
      </c>
      <c r="AK108" s="35">
        <v>750</v>
      </c>
      <c r="AL108" s="35">
        <v>774</v>
      </c>
      <c r="AM108" s="35"/>
      <c r="AN108" s="35"/>
      <c r="AO108" s="35"/>
      <c r="AP108" s="35">
        <f t="shared" si="319"/>
        <v>27334</v>
      </c>
      <c r="AQ108" s="35">
        <f t="shared" si="320"/>
        <v>82002</v>
      </c>
      <c r="AR108" s="35"/>
      <c r="AS108" s="35"/>
      <c r="AT108" s="35"/>
      <c r="AU108" s="35"/>
      <c r="AV108" s="35"/>
      <c r="AW108" s="35"/>
      <c r="AX108" s="35">
        <v>25810</v>
      </c>
      <c r="AY108" s="35">
        <v>750</v>
      </c>
      <c r="AZ108" s="35">
        <v>774</v>
      </c>
      <c r="BA108" s="35"/>
      <c r="BB108" s="35"/>
      <c r="BC108" s="35"/>
      <c r="BD108" s="35">
        <f t="shared" si="326"/>
        <v>27334</v>
      </c>
      <c r="BE108" s="35"/>
      <c r="BF108" s="35"/>
      <c r="BG108" s="35"/>
      <c r="BH108" s="35"/>
      <c r="BI108" s="35"/>
      <c r="BJ108" s="35"/>
      <c r="BK108" s="35">
        <v>25810</v>
      </c>
      <c r="BL108" s="35">
        <v>750</v>
      </c>
      <c r="BM108" s="35">
        <v>774</v>
      </c>
      <c r="BN108" s="35"/>
      <c r="BO108" s="35"/>
      <c r="BP108" s="35"/>
      <c r="BQ108" s="35">
        <f t="shared" si="321"/>
        <v>27334</v>
      </c>
      <c r="BR108" s="35"/>
      <c r="BS108" s="35"/>
      <c r="BT108" s="35"/>
      <c r="BU108" s="35"/>
      <c r="BV108" s="35"/>
      <c r="BW108" s="35"/>
      <c r="BX108" s="35">
        <v>25810</v>
      </c>
      <c r="BY108" s="35">
        <v>750</v>
      </c>
      <c r="BZ108" s="35">
        <v>774</v>
      </c>
      <c r="CA108" s="35"/>
      <c r="CB108" s="35"/>
      <c r="CC108" s="35"/>
      <c r="CD108" s="35">
        <f t="shared" si="322"/>
        <v>27334</v>
      </c>
      <c r="CE108" s="35">
        <f t="shared" si="327"/>
        <v>82002</v>
      </c>
      <c r="CF108" s="35"/>
      <c r="CG108" s="35"/>
      <c r="CH108" s="35"/>
      <c r="CI108" s="35"/>
      <c r="CJ108" s="35"/>
      <c r="CK108" s="35"/>
      <c r="CL108" s="35">
        <f>27110+(1300*6)</f>
        <v>34910</v>
      </c>
      <c r="CM108" s="35">
        <v>750</v>
      </c>
      <c r="CN108" s="35">
        <f>813+(39*6)</f>
        <v>1047</v>
      </c>
      <c r="CO108" s="35"/>
      <c r="CP108" s="35"/>
      <c r="CQ108" s="35"/>
      <c r="CR108" s="35">
        <f t="shared" si="328"/>
        <v>36707</v>
      </c>
      <c r="CS108" s="35"/>
      <c r="CT108" s="35"/>
      <c r="CU108" s="35"/>
      <c r="CV108" s="35"/>
      <c r="CW108" s="35"/>
      <c r="CX108" s="35"/>
      <c r="CY108" s="35">
        <f>27110+2220*6</f>
        <v>40430</v>
      </c>
      <c r="CZ108" s="35">
        <v>750</v>
      </c>
      <c r="DA108" s="35">
        <f>813+67*6</f>
        <v>1215</v>
      </c>
      <c r="DB108" s="35"/>
      <c r="DC108" s="35"/>
      <c r="DD108" s="35"/>
      <c r="DE108" s="35">
        <f t="shared" si="323"/>
        <v>42395</v>
      </c>
      <c r="DF108" s="35"/>
      <c r="DG108" s="35"/>
      <c r="DH108" s="35"/>
      <c r="DI108" s="35"/>
      <c r="DJ108" s="35"/>
      <c r="DK108" s="35"/>
      <c r="DL108" s="35">
        <v>27110</v>
      </c>
      <c r="DM108" s="35">
        <v>750</v>
      </c>
      <c r="DN108" s="35">
        <v>813</v>
      </c>
      <c r="DO108" s="35"/>
      <c r="DP108" s="35"/>
      <c r="DQ108" s="35"/>
      <c r="DR108" s="35">
        <f t="shared" si="329"/>
        <v>28673</v>
      </c>
      <c r="DS108" s="35">
        <f t="shared" si="330"/>
        <v>107775</v>
      </c>
      <c r="DT108" s="35"/>
      <c r="DU108" s="35"/>
      <c r="DV108" s="35"/>
      <c r="DW108" s="35"/>
      <c r="DX108" s="35"/>
      <c r="DY108" s="35"/>
      <c r="DZ108" s="35">
        <v>29330</v>
      </c>
      <c r="EA108" s="35">
        <v>750</v>
      </c>
      <c r="EB108" s="35">
        <v>880</v>
      </c>
      <c r="EC108" s="35"/>
      <c r="ED108" s="35"/>
      <c r="EE108" s="35"/>
      <c r="EF108" s="35">
        <f t="shared" si="331"/>
        <v>30960</v>
      </c>
      <c r="EG108" s="35"/>
      <c r="EH108" s="35"/>
      <c r="EI108" s="35"/>
      <c r="EJ108" s="35"/>
      <c r="EK108" s="35"/>
      <c r="EL108" s="35"/>
      <c r="EM108" s="35">
        <v>29330</v>
      </c>
      <c r="EN108" s="35">
        <v>750</v>
      </c>
      <c r="EO108" s="35">
        <v>880</v>
      </c>
      <c r="EP108" s="35"/>
      <c r="EQ108" s="35"/>
      <c r="ER108" s="35"/>
      <c r="ES108" s="35">
        <f t="shared" si="324"/>
        <v>30960</v>
      </c>
      <c r="ET108" s="35"/>
      <c r="EU108" s="35"/>
      <c r="EV108" s="35"/>
      <c r="EW108" s="35"/>
      <c r="EX108" s="35"/>
      <c r="EY108" s="35"/>
      <c r="EZ108" s="35">
        <v>29330</v>
      </c>
      <c r="FA108" s="35">
        <v>750</v>
      </c>
      <c r="FB108" s="35">
        <v>880</v>
      </c>
      <c r="FC108" s="35"/>
      <c r="FD108" s="35"/>
      <c r="FE108" s="35"/>
      <c r="FF108" s="35">
        <f t="shared" si="332"/>
        <v>30960</v>
      </c>
      <c r="FG108" s="35">
        <f t="shared" si="333"/>
        <v>92880</v>
      </c>
      <c r="FH108" s="35">
        <f t="shared" si="334"/>
        <v>364659</v>
      </c>
    </row>
    <row r="109" spans="1:164" x14ac:dyDescent="0.35">
      <c r="A109" s="34"/>
      <c r="B109" s="40"/>
      <c r="C109" s="41" t="s">
        <v>198</v>
      </c>
      <c r="D109" s="35"/>
      <c r="E109" s="35"/>
      <c r="F109" s="35"/>
      <c r="G109" s="35"/>
      <c r="H109" s="35"/>
      <c r="I109" s="35"/>
      <c r="J109" s="35">
        <v>23860</v>
      </c>
      <c r="K109" s="35">
        <v>750</v>
      </c>
      <c r="L109" s="35">
        <v>716</v>
      </c>
      <c r="M109" s="35"/>
      <c r="N109" s="35"/>
      <c r="O109" s="35"/>
      <c r="P109" s="35">
        <f t="shared" si="325"/>
        <v>25326</v>
      </c>
      <c r="Q109" s="35"/>
      <c r="R109" s="35"/>
      <c r="S109" s="35"/>
      <c r="T109" s="35"/>
      <c r="U109" s="35"/>
      <c r="V109" s="35"/>
      <c r="W109" s="35">
        <v>23860</v>
      </c>
      <c r="X109" s="35">
        <v>750</v>
      </c>
      <c r="Y109" s="35">
        <v>716</v>
      </c>
      <c r="Z109" s="35"/>
      <c r="AA109" s="35"/>
      <c r="AB109" s="35"/>
      <c r="AC109" s="35">
        <f t="shared" si="318"/>
        <v>25326</v>
      </c>
      <c r="AD109" s="35"/>
      <c r="AE109" s="35"/>
      <c r="AF109" s="35"/>
      <c r="AG109" s="35"/>
      <c r="AH109" s="35"/>
      <c r="AI109" s="35"/>
      <c r="AJ109" s="35">
        <v>23860</v>
      </c>
      <c r="AK109" s="35">
        <v>750</v>
      </c>
      <c r="AL109" s="35">
        <v>716</v>
      </c>
      <c r="AM109" s="35"/>
      <c r="AN109" s="35"/>
      <c r="AO109" s="35"/>
      <c r="AP109" s="35">
        <f t="shared" si="319"/>
        <v>25326</v>
      </c>
      <c r="AQ109" s="35">
        <f t="shared" si="320"/>
        <v>75978</v>
      </c>
      <c r="AR109" s="35"/>
      <c r="AS109" s="35"/>
      <c r="AT109" s="35"/>
      <c r="AU109" s="35"/>
      <c r="AV109" s="35"/>
      <c r="AW109" s="35"/>
      <c r="AX109" s="35">
        <v>23860</v>
      </c>
      <c r="AY109" s="35">
        <v>750</v>
      </c>
      <c r="AZ109" s="35">
        <v>716</v>
      </c>
      <c r="BA109" s="35"/>
      <c r="BB109" s="35"/>
      <c r="BC109" s="35"/>
      <c r="BD109" s="35">
        <f t="shared" si="326"/>
        <v>25326</v>
      </c>
      <c r="BE109" s="35"/>
      <c r="BF109" s="35"/>
      <c r="BG109" s="35"/>
      <c r="BH109" s="35"/>
      <c r="BI109" s="35"/>
      <c r="BJ109" s="35"/>
      <c r="BK109" s="35">
        <v>23860</v>
      </c>
      <c r="BL109" s="35">
        <v>750</v>
      </c>
      <c r="BM109" s="35">
        <v>716</v>
      </c>
      <c r="BN109" s="35"/>
      <c r="BO109" s="35"/>
      <c r="BP109" s="35"/>
      <c r="BQ109" s="35">
        <f t="shared" si="321"/>
        <v>25326</v>
      </c>
      <c r="BR109" s="35"/>
      <c r="BS109" s="35"/>
      <c r="BT109" s="35"/>
      <c r="BU109" s="35"/>
      <c r="BV109" s="35"/>
      <c r="BW109" s="35"/>
      <c r="BX109" s="35">
        <v>23860</v>
      </c>
      <c r="BY109" s="35">
        <v>750</v>
      </c>
      <c r="BZ109" s="35">
        <v>716</v>
      </c>
      <c r="CA109" s="35"/>
      <c r="CB109" s="35"/>
      <c r="CC109" s="35"/>
      <c r="CD109" s="35">
        <f t="shared" si="322"/>
        <v>25326</v>
      </c>
      <c r="CE109" s="35">
        <f t="shared" si="327"/>
        <v>75978</v>
      </c>
      <c r="CF109" s="35"/>
      <c r="CG109" s="35"/>
      <c r="CH109" s="35"/>
      <c r="CI109" s="35"/>
      <c r="CJ109" s="35"/>
      <c r="CK109" s="35"/>
      <c r="CL109" s="35">
        <f>25060+(1200*6)</f>
        <v>32260</v>
      </c>
      <c r="CM109" s="35">
        <v>750</v>
      </c>
      <c r="CN109" s="35">
        <f>752+(36*6)</f>
        <v>968</v>
      </c>
      <c r="CO109" s="35"/>
      <c r="CP109" s="35"/>
      <c r="CQ109" s="35"/>
      <c r="CR109" s="35">
        <f t="shared" si="328"/>
        <v>33978</v>
      </c>
      <c r="CS109" s="35"/>
      <c r="CT109" s="35"/>
      <c r="CU109" s="35"/>
      <c r="CV109" s="35"/>
      <c r="CW109" s="35"/>
      <c r="CX109" s="35"/>
      <c r="CY109" s="35">
        <f>25060+7140+1870*6</f>
        <v>43420</v>
      </c>
      <c r="CZ109" s="35">
        <v>750</v>
      </c>
      <c r="DA109" s="35">
        <f>752+216+56*6</f>
        <v>1304</v>
      </c>
      <c r="DB109" s="35"/>
      <c r="DC109" s="35"/>
      <c r="DD109" s="35"/>
      <c r="DE109" s="35">
        <f t="shared" si="323"/>
        <v>45474</v>
      </c>
      <c r="DF109" s="35"/>
      <c r="DG109" s="35"/>
      <c r="DH109" s="35"/>
      <c r="DI109" s="35"/>
      <c r="DJ109" s="35"/>
      <c r="DK109" s="35"/>
      <c r="DL109" s="35">
        <v>25060</v>
      </c>
      <c r="DM109" s="35">
        <v>750</v>
      </c>
      <c r="DN109" s="35">
        <v>752</v>
      </c>
      <c r="DO109" s="35"/>
      <c r="DP109" s="35"/>
      <c r="DQ109" s="35"/>
      <c r="DR109" s="35">
        <f t="shared" si="329"/>
        <v>26562</v>
      </c>
      <c r="DS109" s="35">
        <f t="shared" si="330"/>
        <v>106014</v>
      </c>
      <c r="DT109" s="35"/>
      <c r="DU109" s="35"/>
      <c r="DV109" s="35"/>
      <c r="DW109" s="35"/>
      <c r="DX109" s="35"/>
      <c r="DY109" s="35"/>
      <c r="DZ109" s="35">
        <v>28120</v>
      </c>
      <c r="EA109" s="35">
        <v>750</v>
      </c>
      <c r="EB109" s="35">
        <v>844</v>
      </c>
      <c r="EC109" s="35"/>
      <c r="ED109" s="35"/>
      <c r="EE109" s="35"/>
      <c r="EF109" s="35">
        <f t="shared" si="331"/>
        <v>29714</v>
      </c>
      <c r="EG109" s="35"/>
      <c r="EH109" s="35"/>
      <c r="EI109" s="35"/>
      <c r="EJ109" s="35"/>
      <c r="EK109" s="35"/>
      <c r="EL109" s="35"/>
      <c r="EM109" s="35">
        <v>28120</v>
      </c>
      <c r="EN109" s="35">
        <v>750</v>
      </c>
      <c r="EO109" s="35">
        <v>844</v>
      </c>
      <c r="EP109" s="35"/>
      <c r="EQ109" s="35"/>
      <c r="ER109" s="35"/>
      <c r="ES109" s="35">
        <f t="shared" si="324"/>
        <v>29714</v>
      </c>
      <c r="ET109" s="35"/>
      <c r="EU109" s="35"/>
      <c r="EV109" s="35"/>
      <c r="EW109" s="35"/>
      <c r="EX109" s="35"/>
      <c r="EY109" s="35"/>
      <c r="EZ109" s="35">
        <v>28120</v>
      </c>
      <c r="FA109" s="35">
        <v>750</v>
      </c>
      <c r="FB109" s="35">
        <v>844</v>
      </c>
      <c r="FC109" s="35"/>
      <c r="FD109" s="35"/>
      <c r="FE109" s="35"/>
      <c r="FF109" s="35">
        <f t="shared" si="332"/>
        <v>29714</v>
      </c>
      <c r="FG109" s="35">
        <f t="shared" si="333"/>
        <v>89142</v>
      </c>
      <c r="FH109" s="35">
        <f t="shared" si="334"/>
        <v>347112</v>
      </c>
    </row>
    <row r="110" spans="1:164" x14ac:dyDescent="0.35">
      <c r="A110" s="34"/>
      <c r="B110" s="40"/>
      <c r="C110" s="41" t="s">
        <v>199</v>
      </c>
      <c r="D110" s="35"/>
      <c r="E110" s="35"/>
      <c r="F110" s="35"/>
      <c r="G110" s="35"/>
      <c r="H110" s="35"/>
      <c r="I110" s="35"/>
      <c r="J110" s="35">
        <v>23890</v>
      </c>
      <c r="K110" s="35">
        <v>750</v>
      </c>
      <c r="L110" s="35">
        <v>717</v>
      </c>
      <c r="M110" s="35"/>
      <c r="N110" s="35"/>
      <c r="O110" s="35"/>
      <c r="P110" s="35">
        <f t="shared" si="325"/>
        <v>25357</v>
      </c>
      <c r="Q110" s="35"/>
      <c r="R110" s="35"/>
      <c r="S110" s="35"/>
      <c r="T110" s="35"/>
      <c r="U110" s="35"/>
      <c r="V110" s="35"/>
      <c r="W110" s="35">
        <v>23890</v>
      </c>
      <c r="X110" s="35">
        <v>750</v>
      </c>
      <c r="Y110" s="35">
        <v>717</v>
      </c>
      <c r="Z110" s="35"/>
      <c r="AA110" s="35"/>
      <c r="AB110" s="35"/>
      <c r="AC110" s="35">
        <f t="shared" ref="AC110:AC147" si="612">SUM(Q110:AB110)</f>
        <v>25357</v>
      </c>
      <c r="AD110" s="35"/>
      <c r="AE110" s="35"/>
      <c r="AF110" s="35"/>
      <c r="AG110" s="35"/>
      <c r="AH110" s="35"/>
      <c r="AI110" s="35"/>
      <c r="AJ110" s="35">
        <v>23890</v>
      </c>
      <c r="AK110" s="35">
        <v>750</v>
      </c>
      <c r="AL110" s="35">
        <v>717</v>
      </c>
      <c r="AM110" s="35"/>
      <c r="AN110" s="35"/>
      <c r="AO110" s="35"/>
      <c r="AP110" s="35">
        <f t="shared" ref="AP110:AP142" si="613">SUM(AD110:AO110)</f>
        <v>25357</v>
      </c>
      <c r="AQ110" s="35">
        <f t="shared" ref="AQ110:AQ147" si="614">+P110+AC110+AP110</f>
        <v>76071</v>
      </c>
      <c r="AR110" s="35"/>
      <c r="AS110" s="35"/>
      <c r="AT110" s="35"/>
      <c r="AU110" s="35"/>
      <c r="AV110" s="35"/>
      <c r="AW110" s="35"/>
      <c r="AX110" s="35">
        <v>23890</v>
      </c>
      <c r="AY110" s="35">
        <v>750</v>
      </c>
      <c r="AZ110" s="35">
        <v>717</v>
      </c>
      <c r="BA110" s="35"/>
      <c r="BB110" s="35"/>
      <c r="BC110" s="35"/>
      <c r="BD110" s="35">
        <f t="shared" si="326"/>
        <v>25357</v>
      </c>
      <c r="BE110" s="35"/>
      <c r="BF110" s="35"/>
      <c r="BG110" s="35"/>
      <c r="BH110" s="35"/>
      <c r="BI110" s="35"/>
      <c r="BJ110" s="35"/>
      <c r="BK110" s="35">
        <v>23890</v>
      </c>
      <c r="BL110" s="35">
        <v>750</v>
      </c>
      <c r="BM110" s="35">
        <v>717</v>
      </c>
      <c r="BN110" s="35"/>
      <c r="BO110" s="35"/>
      <c r="BP110" s="35"/>
      <c r="BQ110" s="35">
        <f t="shared" ref="BQ110:BQ142" si="615">SUM(BE110:BP110)</f>
        <v>25357</v>
      </c>
      <c r="BR110" s="35"/>
      <c r="BS110" s="35"/>
      <c r="BT110" s="35"/>
      <c r="BU110" s="35"/>
      <c r="BV110" s="35"/>
      <c r="BW110" s="35"/>
      <c r="BX110" s="35">
        <v>23890</v>
      </c>
      <c r="BY110" s="35">
        <v>750</v>
      </c>
      <c r="BZ110" s="35">
        <v>717</v>
      </c>
      <c r="CA110" s="35"/>
      <c r="CB110" s="35"/>
      <c r="CC110" s="35"/>
      <c r="CD110" s="35">
        <f t="shared" ref="CD110:CD142" si="616">SUM(BR110:CC110)</f>
        <v>25357</v>
      </c>
      <c r="CE110" s="35">
        <f t="shared" si="327"/>
        <v>76071</v>
      </c>
      <c r="CF110" s="35"/>
      <c r="CG110" s="35"/>
      <c r="CH110" s="35"/>
      <c r="CI110" s="35"/>
      <c r="CJ110" s="35"/>
      <c r="CK110" s="35"/>
      <c r="CL110" s="35">
        <f>25090+(1200*6)</f>
        <v>32290</v>
      </c>
      <c r="CM110" s="35">
        <v>750</v>
      </c>
      <c r="CN110" s="35">
        <f>753+(36*6)</f>
        <v>969</v>
      </c>
      <c r="CO110" s="35"/>
      <c r="CP110" s="35"/>
      <c r="CQ110" s="35"/>
      <c r="CR110" s="35">
        <f t="shared" si="328"/>
        <v>34009</v>
      </c>
      <c r="CS110" s="35"/>
      <c r="CT110" s="35"/>
      <c r="CU110" s="35"/>
      <c r="CV110" s="35"/>
      <c r="CW110" s="35"/>
      <c r="CX110" s="35"/>
      <c r="CY110" s="35">
        <f>25090+6960+1870*6</f>
        <v>43270</v>
      </c>
      <c r="CZ110" s="35">
        <v>750</v>
      </c>
      <c r="DA110" s="35">
        <f>753+210+56*6</f>
        <v>1299</v>
      </c>
      <c r="DB110" s="35"/>
      <c r="DC110" s="35"/>
      <c r="DD110" s="35"/>
      <c r="DE110" s="35">
        <f t="shared" ref="DE110:DE142" si="617">SUM(CS110:DD110)</f>
        <v>45319</v>
      </c>
      <c r="DF110" s="35"/>
      <c r="DG110" s="35"/>
      <c r="DH110" s="35"/>
      <c r="DI110" s="35"/>
      <c r="DJ110" s="35"/>
      <c r="DK110" s="35"/>
      <c r="DL110" s="35">
        <v>25090</v>
      </c>
      <c r="DM110" s="35">
        <v>750</v>
      </c>
      <c r="DN110" s="35">
        <v>753</v>
      </c>
      <c r="DO110" s="35"/>
      <c r="DP110" s="35"/>
      <c r="DQ110" s="35"/>
      <c r="DR110" s="35">
        <f t="shared" si="329"/>
        <v>26593</v>
      </c>
      <c r="DS110" s="35">
        <f t="shared" si="330"/>
        <v>105921</v>
      </c>
      <c r="DT110" s="35"/>
      <c r="DU110" s="35"/>
      <c r="DV110" s="35"/>
      <c r="DW110" s="35"/>
      <c r="DX110" s="35"/>
      <c r="DY110" s="35"/>
      <c r="DZ110" s="35">
        <v>28120</v>
      </c>
      <c r="EA110" s="35">
        <v>750</v>
      </c>
      <c r="EB110" s="35">
        <v>844</v>
      </c>
      <c r="EC110" s="35"/>
      <c r="ED110" s="35"/>
      <c r="EE110" s="35"/>
      <c r="EF110" s="35">
        <f t="shared" si="331"/>
        <v>29714</v>
      </c>
      <c r="EG110" s="35"/>
      <c r="EH110" s="35"/>
      <c r="EI110" s="35"/>
      <c r="EJ110" s="35"/>
      <c r="EK110" s="35"/>
      <c r="EL110" s="35"/>
      <c r="EM110" s="35">
        <v>28120</v>
      </c>
      <c r="EN110" s="35">
        <v>750</v>
      </c>
      <c r="EO110" s="35">
        <v>844</v>
      </c>
      <c r="EP110" s="35"/>
      <c r="EQ110" s="35"/>
      <c r="ER110" s="35"/>
      <c r="ES110" s="35">
        <f t="shared" ref="ES110:ES142" si="618">SUM(EG110:ER110)</f>
        <v>29714</v>
      </c>
      <c r="ET110" s="35"/>
      <c r="EU110" s="35"/>
      <c r="EV110" s="35"/>
      <c r="EW110" s="35"/>
      <c r="EX110" s="35"/>
      <c r="EY110" s="35"/>
      <c r="EZ110" s="35">
        <v>28120</v>
      </c>
      <c r="FA110" s="35">
        <v>750</v>
      </c>
      <c r="FB110" s="35">
        <v>844</v>
      </c>
      <c r="FC110" s="35"/>
      <c r="FD110" s="35"/>
      <c r="FE110" s="35"/>
      <c r="FF110" s="35">
        <f t="shared" si="332"/>
        <v>29714</v>
      </c>
      <c r="FG110" s="35">
        <f t="shared" si="333"/>
        <v>89142</v>
      </c>
      <c r="FH110" s="35">
        <f t="shared" si="334"/>
        <v>347205</v>
      </c>
    </row>
    <row r="111" spans="1:164" x14ac:dyDescent="0.35">
      <c r="A111" s="34"/>
      <c r="B111" s="40"/>
      <c r="C111" s="41" t="s">
        <v>200</v>
      </c>
      <c r="D111" s="35"/>
      <c r="E111" s="35"/>
      <c r="F111" s="35"/>
      <c r="G111" s="35"/>
      <c r="H111" s="35"/>
      <c r="I111" s="35"/>
      <c r="J111" s="35">
        <v>22750</v>
      </c>
      <c r="K111" s="35">
        <v>750</v>
      </c>
      <c r="L111" s="35">
        <v>683</v>
      </c>
      <c r="M111" s="35"/>
      <c r="N111" s="35"/>
      <c r="O111" s="35"/>
      <c r="P111" s="35">
        <f t="shared" ref="P111:P147" si="619">SUM(D111:O111)</f>
        <v>24183</v>
      </c>
      <c r="Q111" s="35"/>
      <c r="R111" s="35"/>
      <c r="S111" s="35"/>
      <c r="T111" s="35"/>
      <c r="U111" s="35"/>
      <c r="V111" s="35"/>
      <c r="W111" s="35">
        <v>22750</v>
      </c>
      <c r="X111" s="35">
        <v>750</v>
      </c>
      <c r="Y111" s="35">
        <v>683</v>
      </c>
      <c r="Z111" s="35"/>
      <c r="AA111" s="35"/>
      <c r="AB111" s="35"/>
      <c r="AC111" s="35">
        <f t="shared" si="612"/>
        <v>24183</v>
      </c>
      <c r="AD111" s="35"/>
      <c r="AE111" s="35"/>
      <c r="AF111" s="35"/>
      <c r="AG111" s="35"/>
      <c r="AH111" s="35"/>
      <c r="AI111" s="35"/>
      <c r="AJ111" s="35">
        <v>22750</v>
      </c>
      <c r="AK111" s="35">
        <v>750</v>
      </c>
      <c r="AL111" s="35">
        <v>683</v>
      </c>
      <c r="AM111" s="35"/>
      <c r="AN111" s="35"/>
      <c r="AO111" s="35"/>
      <c r="AP111" s="35">
        <f t="shared" si="613"/>
        <v>24183</v>
      </c>
      <c r="AQ111" s="35">
        <f t="shared" si="614"/>
        <v>72549</v>
      </c>
      <c r="AR111" s="35"/>
      <c r="AS111" s="35"/>
      <c r="AT111" s="35"/>
      <c r="AU111" s="35"/>
      <c r="AV111" s="35"/>
      <c r="AW111" s="35"/>
      <c r="AX111" s="35">
        <v>22750</v>
      </c>
      <c r="AY111" s="35">
        <v>750</v>
      </c>
      <c r="AZ111" s="35">
        <v>683</v>
      </c>
      <c r="BA111" s="35"/>
      <c r="BB111" s="35"/>
      <c r="BC111" s="35"/>
      <c r="BD111" s="35">
        <f t="shared" ref="BD111:BD142" si="620">SUM(AR111:BC111)</f>
        <v>24183</v>
      </c>
      <c r="BE111" s="35"/>
      <c r="BF111" s="35"/>
      <c r="BG111" s="35"/>
      <c r="BH111" s="35"/>
      <c r="BI111" s="35"/>
      <c r="BJ111" s="35"/>
      <c r="BK111" s="35">
        <v>22750</v>
      </c>
      <c r="BL111" s="35">
        <v>750</v>
      </c>
      <c r="BM111" s="35">
        <v>683</v>
      </c>
      <c r="BN111" s="35"/>
      <c r="BO111" s="35"/>
      <c r="BP111" s="35"/>
      <c r="BQ111" s="35">
        <f t="shared" si="615"/>
        <v>24183</v>
      </c>
      <c r="BR111" s="35"/>
      <c r="BS111" s="35"/>
      <c r="BT111" s="35"/>
      <c r="BU111" s="35"/>
      <c r="BV111" s="35"/>
      <c r="BW111" s="35"/>
      <c r="BX111" s="35">
        <v>22750</v>
      </c>
      <c r="BY111" s="35">
        <v>750</v>
      </c>
      <c r="BZ111" s="35">
        <v>683</v>
      </c>
      <c r="CA111" s="35"/>
      <c r="CB111" s="35"/>
      <c r="CC111" s="35"/>
      <c r="CD111" s="35">
        <f t="shared" si="616"/>
        <v>24183</v>
      </c>
      <c r="CE111" s="35">
        <f t="shared" ref="CE111:CE142" si="621">+BD111+BQ111+CD111</f>
        <v>72549</v>
      </c>
      <c r="CF111" s="35"/>
      <c r="CG111" s="35"/>
      <c r="CH111" s="35"/>
      <c r="CI111" s="35"/>
      <c r="CJ111" s="35"/>
      <c r="CK111" s="35"/>
      <c r="CL111" s="35">
        <f>23850+(1100*6)</f>
        <v>30450</v>
      </c>
      <c r="CM111" s="35">
        <v>750</v>
      </c>
      <c r="CN111" s="35">
        <f>716+(33*6)</f>
        <v>914</v>
      </c>
      <c r="CO111" s="35"/>
      <c r="CP111" s="35"/>
      <c r="CQ111" s="35"/>
      <c r="CR111" s="35">
        <f t="shared" ref="CR111:CR142" si="622">SUM(CF111:CQ111)</f>
        <v>32114</v>
      </c>
      <c r="CS111" s="35"/>
      <c r="CT111" s="35"/>
      <c r="CU111" s="35"/>
      <c r="CV111" s="35"/>
      <c r="CW111" s="35"/>
      <c r="CX111" s="35"/>
      <c r="CY111" s="35">
        <f>23850+14400+1050*6</f>
        <v>44550</v>
      </c>
      <c r="CZ111" s="35">
        <v>750</v>
      </c>
      <c r="DA111" s="35">
        <f>716+432+32*6</f>
        <v>1340</v>
      </c>
      <c r="DB111" s="35"/>
      <c r="DC111" s="35"/>
      <c r="DD111" s="35"/>
      <c r="DE111" s="35">
        <f t="shared" si="617"/>
        <v>46640</v>
      </c>
      <c r="DF111" s="35"/>
      <c r="DG111" s="35"/>
      <c r="DH111" s="35"/>
      <c r="DI111" s="35"/>
      <c r="DJ111" s="35"/>
      <c r="DK111" s="35"/>
      <c r="DL111" s="35">
        <v>23850</v>
      </c>
      <c r="DM111" s="35">
        <v>750</v>
      </c>
      <c r="DN111" s="35">
        <v>716</v>
      </c>
      <c r="DO111" s="35"/>
      <c r="DP111" s="35"/>
      <c r="DQ111" s="35"/>
      <c r="DR111" s="35">
        <f t="shared" ref="DR111:DR142" si="623">SUM(DF111:DQ111)</f>
        <v>25316</v>
      </c>
      <c r="DS111" s="35">
        <f t="shared" ref="DS111:DS142" si="624">+CR111+DE111+DR111</f>
        <v>104070</v>
      </c>
      <c r="DT111" s="35"/>
      <c r="DU111" s="35"/>
      <c r="DV111" s="35"/>
      <c r="DW111" s="35"/>
      <c r="DX111" s="35"/>
      <c r="DY111" s="35"/>
      <c r="DZ111" s="35">
        <v>27300</v>
      </c>
      <c r="EA111" s="35">
        <v>750</v>
      </c>
      <c r="EB111" s="35">
        <v>819</v>
      </c>
      <c r="EC111" s="35"/>
      <c r="ED111" s="35"/>
      <c r="EE111" s="35"/>
      <c r="EF111" s="35">
        <f t="shared" ref="EF111:EF142" si="625">SUM(DT111:EE111)</f>
        <v>28869</v>
      </c>
      <c r="EG111" s="35"/>
      <c r="EH111" s="35"/>
      <c r="EI111" s="35"/>
      <c r="EJ111" s="35"/>
      <c r="EK111" s="35"/>
      <c r="EL111" s="35"/>
      <c r="EM111" s="35">
        <v>27300</v>
      </c>
      <c r="EN111" s="35">
        <v>750</v>
      </c>
      <c r="EO111" s="35">
        <v>819</v>
      </c>
      <c r="EP111" s="35"/>
      <c r="EQ111" s="35"/>
      <c r="ER111" s="35"/>
      <c r="ES111" s="35">
        <f t="shared" si="618"/>
        <v>28869</v>
      </c>
      <c r="ET111" s="35"/>
      <c r="EU111" s="35"/>
      <c r="EV111" s="35"/>
      <c r="EW111" s="35"/>
      <c r="EX111" s="35"/>
      <c r="EY111" s="35"/>
      <c r="EZ111" s="35">
        <v>27300</v>
      </c>
      <c r="FA111" s="35">
        <v>750</v>
      </c>
      <c r="FB111" s="35">
        <v>819</v>
      </c>
      <c r="FC111" s="35"/>
      <c r="FD111" s="35"/>
      <c r="FE111" s="35"/>
      <c r="FF111" s="35">
        <f t="shared" ref="FF111:FF142" si="626">SUM(ET111:FE111)</f>
        <v>28869</v>
      </c>
      <c r="FG111" s="35">
        <f t="shared" ref="FG111:FG142" si="627">+EF111+ES111+FF111</f>
        <v>86607</v>
      </c>
      <c r="FH111" s="35">
        <f t="shared" ref="FH111:FH142" si="628">+AQ111+CE111+DS111+FG111</f>
        <v>335775</v>
      </c>
    </row>
    <row r="112" spans="1:164" x14ac:dyDescent="0.35">
      <c r="A112" s="34"/>
      <c r="B112" s="40"/>
      <c r="C112" s="41" t="s">
        <v>201</v>
      </c>
      <c r="D112" s="35"/>
      <c r="E112" s="35"/>
      <c r="F112" s="35"/>
      <c r="G112" s="35"/>
      <c r="H112" s="35"/>
      <c r="I112" s="35"/>
      <c r="J112" s="35">
        <v>27300</v>
      </c>
      <c r="K112" s="35">
        <v>750</v>
      </c>
      <c r="L112" s="35">
        <v>0</v>
      </c>
      <c r="M112" s="35"/>
      <c r="N112" s="35"/>
      <c r="O112" s="35"/>
      <c r="P112" s="35">
        <f t="shared" si="619"/>
        <v>28050</v>
      </c>
      <c r="Q112" s="35"/>
      <c r="R112" s="35"/>
      <c r="S112" s="35"/>
      <c r="T112" s="35"/>
      <c r="U112" s="35"/>
      <c r="V112" s="35"/>
      <c r="W112" s="35">
        <v>27300</v>
      </c>
      <c r="X112" s="35">
        <v>750</v>
      </c>
      <c r="Y112" s="35">
        <v>0</v>
      </c>
      <c r="Z112" s="35"/>
      <c r="AA112" s="35"/>
      <c r="AB112" s="35"/>
      <c r="AC112" s="35">
        <f t="shared" si="612"/>
        <v>28050</v>
      </c>
      <c r="AD112" s="35"/>
      <c r="AE112" s="35"/>
      <c r="AF112" s="35"/>
      <c r="AG112" s="35"/>
      <c r="AH112" s="35"/>
      <c r="AI112" s="35"/>
      <c r="AJ112" s="35">
        <v>27300</v>
      </c>
      <c r="AK112" s="35">
        <v>750</v>
      </c>
      <c r="AL112" s="35">
        <v>0</v>
      </c>
      <c r="AM112" s="35"/>
      <c r="AN112" s="35"/>
      <c r="AO112" s="35"/>
      <c r="AP112" s="35">
        <f t="shared" si="613"/>
        <v>28050</v>
      </c>
      <c r="AQ112" s="35">
        <f t="shared" si="614"/>
        <v>84150</v>
      </c>
      <c r="AR112" s="35"/>
      <c r="AS112" s="35"/>
      <c r="AT112" s="35"/>
      <c r="AU112" s="35"/>
      <c r="AV112" s="35"/>
      <c r="AW112" s="35"/>
      <c r="AX112" s="35">
        <v>27300</v>
      </c>
      <c r="AY112" s="35">
        <v>750</v>
      </c>
      <c r="AZ112" s="35">
        <v>0</v>
      </c>
      <c r="BA112" s="35"/>
      <c r="BB112" s="35"/>
      <c r="BC112" s="35"/>
      <c r="BD112" s="35">
        <f t="shared" si="620"/>
        <v>28050</v>
      </c>
      <c r="BE112" s="35"/>
      <c r="BF112" s="35"/>
      <c r="BG112" s="35"/>
      <c r="BH112" s="35"/>
      <c r="BI112" s="35"/>
      <c r="BJ112" s="35"/>
      <c r="BK112" s="35">
        <v>27300</v>
      </c>
      <c r="BL112" s="35">
        <v>750</v>
      </c>
      <c r="BM112" s="35">
        <v>0</v>
      </c>
      <c r="BN112" s="35"/>
      <c r="BO112" s="35"/>
      <c r="BP112" s="35"/>
      <c r="BQ112" s="35">
        <f t="shared" si="615"/>
        <v>28050</v>
      </c>
      <c r="BR112" s="35"/>
      <c r="BS112" s="35"/>
      <c r="BT112" s="35"/>
      <c r="BU112" s="35"/>
      <c r="BV112" s="35"/>
      <c r="BW112" s="35"/>
      <c r="BX112" s="35">
        <v>27300</v>
      </c>
      <c r="BY112" s="35">
        <v>750</v>
      </c>
      <c r="BZ112" s="35">
        <v>0</v>
      </c>
      <c r="CA112" s="35"/>
      <c r="CB112" s="35"/>
      <c r="CC112" s="35"/>
      <c r="CD112" s="35">
        <f t="shared" si="616"/>
        <v>28050</v>
      </c>
      <c r="CE112" s="35">
        <f t="shared" si="621"/>
        <v>84150</v>
      </c>
      <c r="CF112" s="35"/>
      <c r="CG112" s="35"/>
      <c r="CH112" s="35"/>
      <c r="CI112" s="35"/>
      <c r="CJ112" s="35"/>
      <c r="CK112" s="35"/>
      <c r="CL112" s="35">
        <f>28660+(1360*6)</f>
        <v>36820</v>
      </c>
      <c r="CM112" s="35">
        <v>750</v>
      </c>
      <c r="CN112" s="35">
        <v>0</v>
      </c>
      <c r="CO112" s="35"/>
      <c r="CP112" s="35"/>
      <c r="CQ112" s="35"/>
      <c r="CR112" s="35">
        <f t="shared" si="622"/>
        <v>37570</v>
      </c>
      <c r="CS112" s="35"/>
      <c r="CT112" s="35"/>
      <c r="CU112" s="35"/>
      <c r="CV112" s="35"/>
      <c r="CW112" s="35"/>
      <c r="CX112" s="35"/>
      <c r="CY112" s="35">
        <f>28660+17040+1260*6</f>
        <v>53260</v>
      </c>
      <c r="CZ112" s="35">
        <v>750</v>
      </c>
      <c r="DA112" s="35">
        <v>0</v>
      </c>
      <c r="DB112" s="35"/>
      <c r="DC112" s="35"/>
      <c r="DD112" s="35"/>
      <c r="DE112" s="35">
        <f t="shared" si="617"/>
        <v>54010</v>
      </c>
      <c r="DF112" s="35"/>
      <c r="DG112" s="35"/>
      <c r="DH112" s="35"/>
      <c r="DI112" s="35"/>
      <c r="DJ112" s="35"/>
      <c r="DK112" s="35"/>
      <c r="DL112" s="35">
        <v>28660</v>
      </c>
      <c r="DM112" s="35">
        <v>750</v>
      </c>
      <c r="DN112" s="35">
        <v>0</v>
      </c>
      <c r="DO112" s="35"/>
      <c r="DP112" s="35"/>
      <c r="DQ112" s="35"/>
      <c r="DR112" s="35">
        <f t="shared" si="623"/>
        <v>29410</v>
      </c>
      <c r="DS112" s="35">
        <f t="shared" si="624"/>
        <v>120990</v>
      </c>
      <c r="DT112" s="35"/>
      <c r="DU112" s="35"/>
      <c r="DV112" s="35"/>
      <c r="DW112" s="35"/>
      <c r="DX112" s="35"/>
      <c r="DY112" s="35"/>
      <c r="DZ112" s="35">
        <v>32760</v>
      </c>
      <c r="EA112" s="35">
        <v>750</v>
      </c>
      <c r="EB112" s="35">
        <v>0</v>
      </c>
      <c r="EC112" s="35"/>
      <c r="ED112" s="35"/>
      <c r="EE112" s="35"/>
      <c r="EF112" s="35">
        <f t="shared" si="625"/>
        <v>33510</v>
      </c>
      <c r="EG112" s="35"/>
      <c r="EH112" s="35"/>
      <c r="EI112" s="35"/>
      <c r="EJ112" s="35"/>
      <c r="EK112" s="35"/>
      <c r="EL112" s="35"/>
      <c r="EM112" s="35">
        <v>32760</v>
      </c>
      <c r="EN112" s="35">
        <v>750</v>
      </c>
      <c r="EO112" s="35">
        <v>0</v>
      </c>
      <c r="EP112" s="35"/>
      <c r="EQ112" s="35"/>
      <c r="ER112" s="35"/>
      <c r="ES112" s="35">
        <f t="shared" si="618"/>
        <v>33510</v>
      </c>
      <c r="ET112" s="35"/>
      <c r="EU112" s="35"/>
      <c r="EV112" s="35"/>
      <c r="EW112" s="35"/>
      <c r="EX112" s="35"/>
      <c r="EY112" s="35"/>
      <c r="EZ112" s="35">
        <v>32760</v>
      </c>
      <c r="FA112" s="35">
        <v>750</v>
      </c>
      <c r="FB112" s="35">
        <v>0</v>
      </c>
      <c r="FC112" s="35"/>
      <c r="FD112" s="35"/>
      <c r="FE112" s="35"/>
      <c r="FF112" s="35">
        <f t="shared" si="626"/>
        <v>33510</v>
      </c>
      <c r="FG112" s="35">
        <f t="shared" si="627"/>
        <v>100530</v>
      </c>
      <c r="FH112" s="35">
        <f t="shared" si="628"/>
        <v>389820</v>
      </c>
    </row>
    <row r="113" spans="1:164" x14ac:dyDescent="0.35">
      <c r="A113" s="34"/>
      <c r="B113" s="40"/>
      <c r="C113" s="41" t="s">
        <v>202</v>
      </c>
      <c r="D113" s="35"/>
      <c r="E113" s="35"/>
      <c r="F113" s="35"/>
      <c r="G113" s="35"/>
      <c r="H113" s="35"/>
      <c r="I113" s="35"/>
      <c r="J113" s="35">
        <v>22750</v>
      </c>
      <c r="K113" s="35">
        <v>750</v>
      </c>
      <c r="L113" s="35">
        <v>683</v>
      </c>
      <c r="M113" s="35"/>
      <c r="N113" s="35"/>
      <c r="O113" s="35"/>
      <c r="P113" s="35">
        <f t="shared" si="619"/>
        <v>24183</v>
      </c>
      <c r="Q113" s="35"/>
      <c r="R113" s="35"/>
      <c r="S113" s="35"/>
      <c r="T113" s="35"/>
      <c r="U113" s="35"/>
      <c r="V113" s="35"/>
      <c r="W113" s="35">
        <v>22750</v>
      </c>
      <c r="X113" s="35">
        <v>750</v>
      </c>
      <c r="Y113" s="35">
        <v>683</v>
      </c>
      <c r="Z113" s="35"/>
      <c r="AA113" s="35"/>
      <c r="AB113" s="35"/>
      <c r="AC113" s="35">
        <f t="shared" si="612"/>
        <v>24183</v>
      </c>
      <c r="AD113" s="35"/>
      <c r="AE113" s="35"/>
      <c r="AF113" s="35"/>
      <c r="AG113" s="35"/>
      <c r="AH113" s="35"/>
      <c r="AI113" s="35"/>
      <c r="AJ113" s="35">
        <v>22750</v>
      </c>
      <c r="AK113" s="35">
        <v>750</v>
      </c>
      <c r="AL113" s="35">
        <v>683</v>
      </c>
      <c r="AM113" s="35"/>
      <c r="AN113" s="35"/>
      <c r="AO113" s="35"/>
      <c r="AP113" s="35">
        <f t="shared" si="613"/>
        <v>24183</v>
      </c>
      <c r="AQ113" s="35">
        <f t="shared" si="614"/>
        <v>72549</v>
      </c>
      <c r="AR113" s="35"/>
      <c r="AS113" s="35"/>
      <c r="AT113" s="35"/>
      <c r="AU113" s="35"/>
      <c r="AV113" s="35"/>
      <c r="AW113" s="35"/>
      <c r="AX113" s="35">
        <v>22750</v>
      </c>
      <c r="AY113" s="35">
        <v>750</v>
      </c>
      <c r="AZ113" s="35">
        <v>683</v>
      </c>
      <c r="BA113" s="35"/>
      <c r="BB113" s="35"/>
      <c r="BC113" s="35"/>
      <c r="BD113" s="35">
        <f t="shared" si="620"/>
        <v>24183</v>
      </c>
      <c r="BE113" s="35"/>
      <c r="BF113" s="35"/>
      <c r="BG113" s="35"/>
      <c r="BH113" s="35"/>
      <c r="BI113" s="35"/>
      <c r="BJ113" s="35"/>
      <c r="BK113" s="35">
        <v>22750</v>
      </c>
      <c r="BL113" s="35">
        <v>750</v>
      </c>
      <c r="BM113" s="35">
        <v>683</v>
      </c>
      <c r="BN113" s="35"/>
      <c r="BO113" s="35"/>
      <c r="BP113" s="35"/>
      <c r="BQ113" s="35">
        <f t="shared" si="615"/>
        <v>24183</v>
      </c>
      <c r="BR113" s="35"/>
      <c r="BS113" s="35"/>
      <c r="BT113" s="35"/>
      <c r="BU113" s="35"/>
      <c r="BV113" s="35"/>
      <c r="BW113" s="35"/>
      <c r="BX113" s="35">
        <v>22750</v>
      </c>
      <c r="BY113" s="35">
        <v>750</v>
      </c>
      <c r="BZ113" s="35">
        <v>683</v>
      </c>
      <c r="CA113" s="35"/>
      <c r="CB113" s="35"/>
      <c r="CC113" s="35"/>
      <c r="CD113" s="35">
        <f t="shared" si="616"/>
        <v>24183</v>
      </c>
      <c r="CE113" s="35">
        <f t="shared" si="621"/>
        <v>72549</v>
      </c>
      <c r="CF113" s="35"/>
      <c r="CG113" s="35"/>
      <c r="CH113" s="35"/>
      <c r="CI113" s="35"/>
      <c r="CJ113" s="35"/>
      <c r="CK113" s="35"/>
      <c r="CL113" s="35">
        <f>23860+(1110*6)</f>
        <v>30520</v>
      </c>
      <c r="CM113" s="35">
        <v>750</v>
      </c>
      <c r="CN113" s="35">
        <f>716+(33*6)</f>
        <v>914</v>
      </c>
      <c r="CO113" s="35"/>
      <c r="CP113" s="35"/>
      <c r="CQ113" s="35"/>
      <c r="CR113" s="35">
        <f t="shared" si="622"/>
        <v>32184</v>
      </c>
      <c r="CS113" s="35"/>
      <c r="CT113" s="35"/>
      <c r="CU113" s="35"/>
      <c r="CV113" s="35"/>
      <c r="CW113" s="35"/>
      <c r="CX113" s="35"/>
      <c r="CY113" s="35">
        <f>23860+14340+1000*6</f>
        <v>44200</v>
      </c>
      <c r="CZ113" s="35">
        <v>750</v>
      </c>
      <c r="DA113" s="35">
        <f>716+432+30*6</f>
        <v>1328</v>
      </c>
      <c r="DB113" s="35"/>
      <c r="DC113" s="35"/>
      <c r="DD113" s="35"/>
      <c r="DE113" s="35">
        <f t="shared" si="617"/>
        <v>46278</v>
      </c>
      <c r="DF113" s="35"/>
      <c r="DG113" s="35"/>
      <c r="DH113" s="35"/>
      <c r="DI113" s="35"/>
      <c r="DJ113" s="35"/>
      <c r="DK113" s="35"/>
      <c r="DL113" s="35">
        <v>23860</v>
      </c>
      <c r="DM113" s="35">
        <v>750</v>
      </c>
      <c r="DN113" s="35">
        <v>716</v>
      </c>
      <c r="DO113" s="35"/>
      <c r="DP113" s="35"/>
      <c r="DQ113" s="35"/>
      <c r="DR113" s="35">
        <f t="shared" si="623"/>
        <v>25326</v>
      </c>
      <c r="DS113" s="35">
        <f t="shared" si="624"/>
        <v>103788</v>
      </c>
      <c r="DT113" s="35"/>
      <c r="DU113" s="35"/>
      <c r="DV113" s="35"/>
      <c r="DW113" s="35"/>
      <c r="DX113" s="35"/>
      <c r="DY113" s="35"/>
      <c r="DZ113" s="35">
        <v>27250</v>
      </c>
      <c r="EA113" s="35">
        <v>750</v>
      </c>
      <c r="EB113" s="35">
        <v>818</v>
      </c>
      <c r="EC113" s="35"/>
      <c r="ED113" s="35"/>
      <c r="EE113" s="35"/>
      <c r="EF113" s="35">
        <f t="shared" si="625"/>
        <v>28818</v>
      </c>
      <c r="EG113" s="35"/>
      <c r="EH113" s="35"/>
      <c r="EI113" s="35"/>
      <c r="EJ113" s="35"/>
      <c r="EK113" s="35"/>
      <c r="EL113" s="35"/>
      <c r="EM113" s="35">
        <v>27250</v>
      </c>
      <c r="EN113" s="35">
        <v>750</v>
      </c>
      <c r="EO113" s="35">
        <v>818</v>
      </c>
      <c r="EP113" s="35"/>
      <c r="EQ113" s="35"/>
      <c r="ER113" s="35"/>
      <c r="ES113" s="35">
        <f t="shared" si="618"/>
        <v>28818</v>
      </c>
      <c r="ET113" s="35"/>
      <c r="EU113" s="35"/>
      <c r="EV113" s="35"/>
      <c r="EW113" s="35"/>
      <c r="EX113" s="35"/>
      <c r="EY113" s="35"/>
      <c r="EZ113" s="35">
        <v>27250</v>
      </c>
      <c r="FA113" s="35">
        <v>750</v>
      </c>
      <c r="FB113" s="35">
        <v>818</v>
      </c>
      <c r="FC113" s="35"/>
      <c r="FD113" s="35"/>
      <c r="FE113" s="35"/>
      <c r="FF113" s="35">
        <f t="shared" si="626"/>
        <v>28818</v>
      </c>
      <c r="FG113" s="35">
        <f t="shared" si="627"/>
        <v>86454</v>
      </c>
      <c r="FH113" s="35">
        <f t="shared" si="628"/>
        <v>335340</v>
      </c>
    </row>
    <row r="114" spans="1:164" x14ac:dyDescent="0.35">
      <c r="A114" s="34"/>
      <c r="B114" s="40"/>
      <c r="C114" s="41" t="s">
        <v>238</v>
      </c>
      <c r="D114" s="35"/>
      <c r="E114" s="35"/>
      <c r="F114" s="35"/>
      <c r="G114" s="35"/>
      <c r="H114" s="35"/>
      <c r="I114" s="35"/>
      <c r="J114" s="35">
        <v>22750</v>
      </c>
      <c r="K114" s="35">
        <v>750</v>
      </c>
      <c r="L114" s="35">
        <v>683</v>
      </c>
      <c r="M114" s="35"/>
      <c r="N114" s="35"/>
      <c r="O114" s="35"/>
      <c r="P114" s="35">
        <f t="shared" ref="P114:P116" si="629">SUM(D114:O114)</f>
        <v>24183</v>
      </c>
      <c r="Q114" s="35"/>
      <c r="R114" s="35"/>
      <c r="S114" s="35"/>
      <c r="T114" s="35"/>
      <c r="U114" s="35"/>
      <c r="V114" s="35"/>
      <c r="W114" s="35">
        <v>22750</v>
      </c>
      <c r="X114" s="35">
        <v>750</v>
      </c>
      <c r="Y114" s="35">
        <v>683</v>
      </c>
      <c r="Z114" s="35"/>
      <c r="AA114" s="35"/>
      <c r="AB114" s="35"/>
      <c r="AC114" s="35">
        <f t="shared" ref="AC114:AC116" si="630">SUM(Q114:AB114)</f>
        <v>24183</v>
      </c>
      <c r="AD114" s="35"/>
      <c r="AE114" s="35"/>
      <c r="AF114" s="35"/>
      <c r="AG114" s="35"/>
      <c r="AH114" s="35"/>
      <c r="AI114" s="35"/>
      <c r="AJ114" s="35">
        <v>22750</v>
      </c>
      <c r="AK114" s="35">
        <v>750</v>
      </c>
      <c r="AL114" s="35">
        <v>683</v>
      </c>
      <c r="AM114" s="35"/>
      <c r="AN114" s="35"/>
      <c r="AO114" s="35"/>
      <c r="AP114" s="35">
        <f t="shared" ref="AP114:AP116" si="631">SUM(AD114:AO114)</f>
        <v>24183</v>
      </c>
      <c r="AQ114" s="35">
        <f t="shared" ref="AQ114:AQ116" si="632">+P114+AC114+AP114</f>
        <v>72549</v>
      </c>
      <c r="AR114" s="35"/>
      <c r="AS114" s="35"/>
      <c r="AT114" s="35"/>
      <c r="AU114" s="35"/>
      <c r="AV114" s="35"/>
      <c r="AW114" s="35"/>
      <c r="AX114" s="35">
        <v>22750</v>
      </c>
      <c r="AY114" s="35">
        <v>750</v>
      </c>
      <c r="AZ114" s="35">
        <v>683</v>
      </c>
      <c r="BA114" s="35"/>
      <c r="BB114" s="35"/>
      <c r="BC114" s="35"/>
      <c r="BD114" s="35">
        <f t="shared" ref="BD114" si="633">SUM(AR114:BC114)</f>
        <v>24183</v>
      </c>
      <c r="BE114" s="35"/>
      <c r="BF114" s="35"/>
      <c r="BG114" s="35"/>
      <c r="BH114" s="35"/>
      <c r="BI114" s="35"/>
      <c r="BJ114" s="35"/>
      <c r="BK114" s="35">
        <v>22750</v>
      </c>
      <c r="BL114" s="35">
        <v>750</v>
      </c>
      <c r="BM114" s="35">
        <v>683</v>
      </c>
      <c r="BN114" s="35"/>
      <c r="BO114" s="35"/>
      <c r="BP114" s="35"/>
      <c r="BQ114" s="35">
        <f t="shared" ref="BQ114" si="634">SUM(BE114:BP114)</f>
        <v>24183</v>
      </c>
      <c r="BR114" s="35"/>
      <c r="BS114" s="35"/>
      <c r="BT114" s="35"/>
      <c r="BU114" s="35"/>
      <c r="BV114" s="35"/>
      <c r="BW114" s="35"/>
      <c r="BX114" s="35">
        <v>22750</v>
      </c>
      <c r="BY114" s="35">
        <v>750</v>
      </c>
      <c r="BZ114" s="35">
        <v>683</v>
      </c>
      <c r="CA114" s="35"/>
      <c r="CB114" s="35"/>
      <c r="CC114" s="35"/>
      <c r="CD114" s="35">
        <f t="shared" ref="CD114:CD116" si="635">SUM(BR114:CC114)</f>
        <v>24183</v>
      </c>
      <c r="CE114" s="35">
        <f t="shared" ref="CE114:CE116" si="636">+BD114+BQ114+CD114</f>
        <v>72549</v>
      </c>
      <c r="CF114" s="35"/>
      <c r="CG114" s="35"/>
      <c r="CH114" s="35"/>
      <c r="CI114" s="35"/>
      <c r="CJ114" s="35"/>
      <c r="CK114" s="35"/>
      <c r="CL114" s="35">
        <f>23650+(900*6)</f>
        <v>29050</v>
      </c>
      <c r="CM114" s="35">
        <v>750</v>
      </c>
      <c r="CN114" s="35">
        <f>710+(27*6)</f>
        <v>872</v>
      </c>
      <c r="CO114" s="35"/>
      <c r="CP114" s="35"/>
      <c r="CQ114" s="35"/>
      <c r="CR114" s="35">
        <f t="shared" ref="CR114:CR116" si="637">SUM(CF114:CQ114)</f>
        <v>30672</v>
      </c>
      <c r="CS114" s="35"/>
      <c r="CT114" s="35"/>
      <c r="CU114" s="35"/>
      <c r="CV114" s="35"/>
      <c r="CW114" s="35"/>
      <c r="CX114" s="35"/>
      <c r="CY114" s="35">
        <f>23650+15600+760*6</f>
        <v>43810</v>
      </c>
      <c r="CZ114" s="35">
        <v>750</v>
      </c>
      <c r="DA114" s="35">
        <f>710+468+23*6</f>
        <v>1316</v>
      </c>
      <c r="DB114" s="35"/>
      <c r="DC114" s="35"/>
      <c r="DD114" s="35"/>
      <c r="DE114" s="35">
        <f t="shared" ref="DE114:DE116" si="638">SUM(CS114:DD114)</f>
        <v>45876</v>
      </c>
      <c r="DF114" s="35"/>
      <c r="DG114" s="35"/>
      <c r="DH114" s="35"/>
      <c r="DI114" s="35"/>
      <c r="DJ114" s="35"/>
      <c r="DK114" s="35"/>
      <c r="DL114" s="35">
        <v>23650</v>
      </c>
      <c r="DM114" s="35">
        <v>750</v>
      </c>
      <c r="DN114" s="35">
        <v>710</v>
      </c>
      <c r="DO114" s="35"/>
      <c r="DP114" s="35"/>
      <c r="DQ114" s="35"/>
      <c r="DR114" s="35">
        <f t="shared" ref="DR114:DR116" si="639">SUM(DF114:DQ114)</f>
        <v>25110</v>
      </c>
      <c r="DS114" s="35">
        <f t="shared" ref="DS114:DS116" si="640">+CR114+DE114+DR114</f>
        <v>101658</v>
      </c>
      <c r="DT114" s="35"/>
      <c r="DU114" s="35"/>
      <c r="DV114" s="35"/>
      <c r="DW114" s="35"/>
      <c r="DX114" s="35"/>
      <c r="DY114" s="35"/>
      <c r="DZ114" s="35">
        <v>27010</v>
      </c>
      <c r="EA114" s="35">
        <v>750</v>
      </c>
      <c r="EB114" s="35">
        <v>810</v>
      </c>
      <c r="EC114" s="35"/>
      <c r="ED114" s="35"/>
      <c r="EE114" s="35"/>
      <c r="EF114" s="35">
        <f t="shared" ref="EF114:EF116" si="641">SUM(DT114:EE114)</f>
        <v>28570</v>
      </c>
      <c r="EG114" s="35"/>
      <c r="EH114" s="35"/>
      <c r="EI114" s="35"/>
      <c r="EJ114" s="35"/>
      <c r="EK114" s="35"/>
      <c r="EL114" s="35"/>
      <c r="EM114" s="35">
        <v>27010</v>
      </c>
      <c r="EN114" s="35">
        <v>750</v>
      </c>
      <c r="EO114" s="35">
        <v>810</v>
      </c>
      <c r="EP114" s="35"/>
      <c r="EQ114" s="35"/>
      <c r="ER114" s="35"/>
      <c r="ES114" s="35">
        <f t="shared" ref="ES114:ES116" si="642">SUM(EG114:ER114)</f>
        <v>28570</v>
      </c>
      <c r="ET114" s="35"/>
      <c r="EU114" s="35"/>
      <c r="EV114" s="35"/>
      <c r="EW114" s="35"/>
      <c r="EX114" s="35"/>
      <c r="EY114" s="35"/>
      <c r="EZ114" s="35">
        <v>27010</v>
      </c>
      <c r="FA114" s="35">
        <v>750</v>
      </c>
      <c r="FB114" s="35">
        <v>810</v>
      </c>
      <c r="FC114" s="35"/>
      <c r="FD114" s="35"/>
      <c r="FE114" s="35"/>
      <c r="FF114" s="35">
        <f t="shared" ref="FF114:FF116" si="643">SUM(ET114:FE114)</f>
        <v>28570</v>
      </c>
      <c r="FG114" s="35">
        <f t="shared" ref="FG114:FG116" si="644">+EF114+ES114+FF114</f>
        <v>85710</v>
      </c>
      <c r="FH114" s="35">
        <f t="shared" ref="FH114:FH116" si="645">+AQ114+CE114+DS114+FG114</f>
        <v>332466</v>
      </c>
    </row>
    <row r="115" spans="1:164" x14ac:dyDescent="0.35">
      <c r="A115" s="34"/>
      <c r="B115" s="40"/>
      <c r="C115" s="41" t="s">
        <v>243</v>
      </c>
      <c r="D115" s="35"/>
      <c r="E115" s="35"/>
      <c r="F115" s="35"/>
      <c r="G115" s="35"/>
      <c r="H115" s="35"/>
      <c r="I115" s="35"/>
      <c r="J115" s="35">
        <v>27300</v>
      </c>
      <c r="K115" s="35">
        <v>750</v>
      </c>
      <c r="L115" s="35">
        <v>0</v>
      </c>
      <c r="M115" s="35"/>
      <c r="N115" s="35"/>
      <c r="O115" s="35"/>
      <c r="P115" s="35">
        <f t="shared" ref="P115" si="646">SUM(D115:O115)</f>
        <v>28050</v>
      </c>
      <c r="Q115" s="35"/>
      <c r="R115" s="35"/>
      <c r="S115" s="35"/>
      <c r="T115" s="35"/>
      <c r="U115" s="35"/>
      <c r="V115" s="35"/>
      <c r="W115" s="35">
        <v>27300</v>
      </c>
      <c r="X115" s="35">
        <v>750</v>
      </c>
      <c r="Y115" s="35">
        <v>0</v>
      </c>
      <c r="Z115" s="35"/>
      <c r="AA115" s="35"/>
      <c r="AB115" s="35"/>
      <c r="AC115" s="35">
        <f t="shared" ref="AC115" si="647">SUM(Q115:AB115)</f>
        <v>28050</v>
      </c>
      <c r="AD115" s="35"/>
      <c r="AE115" s="35"/>
      <c r="AF115" s="35"/>
      <c r="AG115" s="35"/>
      <c r="AH115" s="35"/>
      <c r="AI115" s="35"/>
      <c r="AJ115" s="35">
        <v>27300</v>
      </c>
      <c r="AK115" s="35">
        <v>750</v>
      </c>
      <c r="AL115" s="35">
        <v>0</v>
      </c>
      <c r="AM115" s="35"/>
      <c r="AN115" s="35"/>
      <c r="AO115" s="35"/>
      <c r="AP115" s="35">
        <f t="shared" ref="AP115" si="648">SUM(AD115:AO115)</f>
        <v>28050</v>
      </c>
      <c r="AQ115" s="35">
        <f t="shared" ref="AQ115" si="649">+P115+AC115+AP115</f>
        <v>84150</v>
      </c>
      <c r="AR115" s="35"/>
      <c r="AS115" s="35"/>
      <c r="AT115" s="35"/>
      <c r="AU115" s="35"/>
      <c r="AV115" s="35"/>
      <c r="AW115" s="35"/>
      <c r="AX115" s="35">
        <v>27300</v>
      </c>
      <c r="AY115" s="35">
        <v>750</v>
      </c>
      <c r="AZ115" s="35">
        <v>0</v>
      </c>
      <c r="BA115" s="35"/>
      <c r="BB115" s="35"/>
      <c r="BC115" s="35"/>
      <c r="BD115" s="35">
        <f t="shared" ref="BD115" si="650">SUM(AR115:BC115)</f>
        <v>28050</v>
      </c>
      <c r="BE115" s="35"/>
      <c r="BF115" s="35"/>
      <c r="BG115" s="35"/>
      <c r="BH115" s="35"/>
      <c r="BI115" s="35"/>
      <c r="BJ115" s="35"/>
      <c r="BK115" s="35">
        <v>27300</v>
      </c>
      <c r="BL115" s="35">
        <v>750</v>
      </c>
      <c r="BM115" s="35">
        <v>0</v>
      </c>
      <c r="BN115" s="35"/>
      <c r="BO115" s="35"/>
      <c r="BP115" s="35"/>
      <c r="BQ115" s="35">
        <f t="shared" ref="BQ115" si="651">SUM(BE115:BP115)</f>
        <v>28050</v>
      </c>
      <c r="BR115" s="35"/>
      <c r="BS115" s="35"/>
      <c r="BT115" s="35"/>
      <c r="BU115" s="35"/>
      <c r="BV115" s="35"/>
      <c r="BW115" s="35"/>
      <c r="BX115" s="35">
        <v>27300</v>
      </c>
      <c r="BY115" s="35">
        <v>750</v>
      </c>
      <c r="BZ115" s="35">
        <v>0</v>
      </c>
      <c r="CA115" s="35"/>
      <c r="CB115" s="35"/>
      <c r="CC115" s="35"/>
      <c r="CD115" s="35">
        <f t="shared" ref="CD115" si="652">SUM(BR115:CC115)</f>
        <v>28050</v>
      </c>
      <c r="CE115" s="35">
        <f t="shared" ref="CE115" si="653">+BD115+BQ115+CD115</f>
        <v>84150</v>
      </c>
      <c r="CF115" s="35"/>
      <c r="CG115" s="35"/>
      <c r="CH115" s="35"/>
      <c r="CI115" s="35"/>
      <c r="CJ115" s="35"/>
      <c r="CK115" s="35"/>
      <c r="CL115" s="35">
        <v>27300</v>
      </c>
      <c r="CM115" s="35">
        <v>750</v>
      </c>
      <c r="CN115" s="35">
        <v>0</v>
      </c>
      <c r="CO115" s="35"/>
      <c r="CP115" s="35"/>
      <c r="CQ115" s="35"/>
      <c r="CR115" s="35">
        <f t="shared" ref="CR115" si="654">SUM(CF115:CQ115)</f>
        <v>28050</v>
      </c>
      <c r="CS115" s="35"/>
      <c r="CT115" s="35"/>
      <c r="CU115" s="35"/>
      <c r="CV115" s="35"/>
      <c r="CW115" s="35"/>
      <c r="CX115" s="35"/>
      <c r="CY115" s="35">
        <f>27300+25200+490*6</f>
        <v>55440</v>
      </c>
      <c r="CZ115" s="35">
        <v>750</v>
      </c>
      <c r="DA115" s="35">
        <v>0</v>
      </c>
      <c r="DB115" s="35"/>
      <c r="DC115" s="35"/>
      <c r="DD115" s="35"/>
      <c r="DE115" s="35">
        <f t="shared" ref="DE115" si="655">SUM(CS115:DD115)</f>
        <v>56190</v>
      </c>
      <c r="DF115" s="35"/>
      <c r="DG115" s="35"/>
      <c r="DH115" s="35"/>
      <c r="DI115" s="35"/>
      <c r="DJ115" s="35"/>
      <c r="DK115" s="35"/>
      <c r="DL115" s="35">
        <v>27300</v>
      </c>
      <c r="DM115" s="35">
        <v>750</v>
      </c>
      <c r="DN115" s="35">
        <v>0</v>
      </c>
      <c r="DO115" s="35"/>
      <c r="DP115" s="35"/>
      <c r="DQ115" s="35"/>
      <c r="DR115" s="35">
        <f t="shared" ref="DR115" si="656">SUM(DF115:DQ115)</f>
        <v>28050</v>
      </c>
      <c r="DS115" s="35">
        <f t="shared" ref="DS115" si="657">+CR115+DE115+DR115</f>
        <v>112290</v>
      </c>
      <c r="DT115" s="35"/>
      <c r="DU115" s="35"/>
      <c r="DV115" s="35"/>
      <c r="DW115" s="35"/>
      <c r="DX115" s="35"/>
      <c r="DY115" s="35"/>
      <c r="DZ115" s="35">
        <v>31990</v>
      </c>
      <c r="EA115" s="35">
        <v>750</v>
      </c>
      <c r="EB115" s="35">
        <v>0</v>
      </c>
      <c r="EC115" s="35"/>
      <c r="ED115" s="35"/>
      <c r="EE115" s="35"/>
      <c r="EF115" s="35">
        <f t="shared" ref="EF115" si="658">SUM(DT115:EE115)</f>
        <v>32740</v>
      </c>
      <c r="EG115" s="35"/>
      <c r="EH115" s="35"/>
      <c r="EI115" s="35"/>
      <c r="EJ115" s="35"/>
      <c r="EK115" s="35"/>
      <c r="EL115" s="35"/>
      <c r="EM115" s="35">
        <v>31990</v>
      </c>
      <c r="EN115" s="35">
        <v>750</v>
      </c>
      <c r="EO115" s="35">
        <v>0</v>
      </c>
      <c r="EP115" s="35"/>
      <c r="EQ115" s="35"/>
      <c r="ER115" s="35"/>
      <c r="ES115" s="35">
        <f t="shared" ref="ES115" si="659">SUM(EG115:ER115)</f>
        <v>32740</v>
      </c>
      <c r="ET115" s="35"/>
      <c r="EU115" s="35"/>
      <c r="EV115" s="35"/>
      <c r="EW115" s="35"/>
      <c r="EX115" s="35"/>
      <c r="EY115" s="35"/>
      <c r="EZ115" s="35">
        <v>31990</v>
      </c>
      <c r="FA115" s="35">
        <v>750</v>
      </c>
      <c r="FB115" s="35">
        <v>0</v>
      </c>
      <c r="FC115" s="35"/>
      <c r="FD115" s="35"/>
      <c r="FE115" s="35"/>
      <c r="FF115" s="35">
        <f t="shared" ref="FF115" si="660">SUM(ET115:FE115)</f>
        <v>32740</v>
      </c>
      <c r="FG115" s="35">
        <f t="shared" ref="FG115" si="661">+EF115+ES115+FF115</f>
        <v>98220</v>
      </c>
      <c r="FH115" s="35">
        <f t="shared" ref="FH115" si="662">+AQ115+CE115+DS115+FG115</f>
        <v>378810</v>
      </c>
    </row>
    <row r="116" spans="1:164" x14ac:dyDescent="0.35">
      <c r="A116" s="34"/>
      <c r="B116" s="40"/>
      <c r="C116" s="41" t="s">
        <v>244</v>
      </c>
      <c r="D116" s="35"/>
      <c r="E116" s="35"/>
      <c r="F116" s="35"/>
      <c r="G116" s="35"/>
      <c r="H116" s="35"/>
      <c r="I116" s="35"/>
      <c r="J116" s="35">
        <v>27300</v>
      </c>
      <c r="K116" s="35">
        <v>750</v>
      </c>
      <c r="L116" s="35">
        <v>0</v>
      </c>
      <c r="M116" s="35"/>
      <c r="N116" s="35"/>
      <c r="O116" s="35"/>
      <c r="P116" s="35">
        <f t="shared" si="629"/>
        <v>28050</v>
      </c>
      <c r="Q116" s="35"/>
      <c r="R116" s="35"/>
      <c r="S116" s="35"/>
      <c r="T116" s="35"/>
      <c r="U116" s="35"/>
      <c r="V116" s="35"/>
      <c r="W116" s="35">
        <v>27300</v>
      </c>
      <c r="X116" s="35">
        <v>750</v>
      </c>
      <c r="Y116" s="35">
        <v>0</v>
      </c>
      <c r="Z116" s="35"/>
      <c r="AA116" s="35"/>
      <c r="AB116" s="35"/>
      <c r="AC116" s="35">
        <f t="shared" si="630"/>
        <v>28050</v>
      </c>
      <c r="AD116" s="35"/>
      <c r="AE116" s="35"/>
      <c r="AF116" s="35"/>
      <c r="AG116" s="35"/>
      <c r="AH116" s="35"/>
      <c r="AI116" s="35"/>
      <c r="AJ116" s="35">
        <v>27300</v>
      </c>
      <c r="AK116" s="35">
        <v>750</v>
      </c>
      <c r="AL116" s="35">
        <v>0</v>
      </c>
      <c r="AM116" s="35"/>
      <c r="AN116" s="35"/>
      <c r="AO116" s="35"/>
      <c r="AP116" s="35">
        <f t="shared" si="631"/>
        <v>28050</v>
      </c>
      <c r="AQ116" s="35">
        <f t="shared" si="632"/>
        <v>84150</v>
      </c>
      <c r="AR116" s="35"/>
      <c r="AS116" s="35"/>
      <c r="AT116" s="35"/>
      <c r="AU116" s="35"/>
      <c r="AV116" s="35"/>
      <c r="AW116" s="35"/>
      <c r="AX116" s="35">
        <v>27300</v>
      </c>
      <c r="AY116" s="35">
        <v>750</v>
      </c>
      <c r="AZ116" s="35">
        <v>0</v>
      </c>
      <c r="BA116" s="35"/>
      <c r="BB116" s="35"/>
      <c r="BC116" s="35"/>
      <c r="BD116" s="35">
        <f t="shared" ref="BD116" si="663">SUM(AR116:BC116)</f>
        <v>28050</v>
      </c>
      <c r="BE116" s="35"/>
      <c r="BF116" s="35"/>
      <c r="BG116" s="35"/>
      <c r="BH116" s="35"/>
      <c r="BI116" s="35"/>
      <c r="BJ116" s="35"/>
      <c r="BK116" s="35">
        <v>27300</v>
      </c>
      <c r="BL116" s="35">
        <v>750</v>
      </c>
      <c r="BM116" s="35">
        <v>0</v>
      </c>
      <c r="BN116" s="35"/>
      <c r="BO116" s="35"/>
      <c r="BP116" s="35"/>
      <c r="BQ116" s="35">
        <f t="shared" ref="BQ116" si="664">SUM(BE116:BP116)</f>
        <v>28050</v>
      </c>
      <c r="BR116" s="35"/>
      <c r="BS116" s="35"/>
      <c r="BT116" s="35"/>
      <c r="BU116" s="35"/>
      <c r="BV116" s="35"/>
      <c r="BW116" s="35"/>
      <c r="BX116" s="35">
        <v>27300</v>
      </c>
      <c r="BY116" s="35">
        <v>750</v>
      </c>
      <c r="BZ116" s="35">
        <v>0</v>
      </c>
      <c r="CA116" s="35"/>
      <c r="CB116" s="35"/>
      <c r="CC116" s="35"/>
      <c r="CD116" s="35">
        <f t="shared" si="635"/>
        <v>28050</v>
      </c>
      <c r="CE116" s="35">
        <f t="shared" si="636"/>
        <v>84150</v>
      </c>
      <c r="CF116" s="35"/>
      <c r="CG116" s="35"/>
      <c r="CH116" s="35"/>
      <c r="CI116" s="35"/>
      <c r="CJ116" s="35"/>
      <c r="CK116" s="35"/>
      <c r="CL116" s="35">
        <v>27300</v>
      </c>
      <c r="CM116" s="35">
        <v>750</v>
      </c>
      <c r="CN116" s="35">
        <v>819</v>
      </c>
      <c r="CO116" s="35"/>
      <c r="CP116" s="35"/>
      <c r="CQ116" s="35"/>
      <c r="CR116" s="35">
        <f t="shared" si="637"/>
        <v>28869</v>
      </c>
      <c r="CS116" s="35"/>
      <c r="CT116" s="35"/>
      <c r="CU116" s="35"/>
      <c r="CV116" s="35"/>
      <c r="CW116" s="35"/>
      <c r="CX116" s="35"/>
      <c r="CY116" s="35">
        <f>27300+25200+490*6</f>
        <v>55440</v>
      </c>
      <c r="CZ116" s="35">
        <v>750</v>
      </c>
      <c r="DA116" s="35">
        <f>819+378+15*6</f>
        <v>1287</v>
      </c>
      <c r="DB116" s="35"/>
      <c r="DC116" s="35"/>
      <c r="DD116" s="35"/>
      <c r="DE116" s="35">
        <f t="shared" si="638"/>
        <v>57477</v>
      </c>
      <c r="DF116" s="35"/>
      <c r="DG116" s="35"/>
      <c r="DH116" s="35"/>
      <c r="DI116" s="35"/>
      <c r="DJ116" s="35"/>
      <c r="DK116" s="35"/>
      <c r="DL116" s="35">
        <v>27300</v>
      </c>
      <c r="DM116" s="35">
        <v>750</v>
      </c>
      <c r="DN116" s="35">
        <v>819</v>
      </c>
      <c r="DO116" s="35"/>
      <c r="DP116" s="35"/>
      <c r="DQ116" s="35"/>
      <c r="DR116" s="35">
        <f t="shared" si="639"/>
        <v>28869</v>
      </c>
      <c r="DS116" s="35">
        <f t="shared" si="640"/>
        <v>115215</v>
      </c>
      <c r="DT116" s="35"/>
      <c r="DU116" s="35"/>
      <c r="DV116" s="35"/>
      <c r="DW116" s="35"/>
      <c r="DX116" s="35"/>
      <c r="DY116" s="35"/>
      <c r="DZ116" s="35">
        <v>31990</v>
      </c>
      <c r="EA116" s="35">
        <v>750</v>
      </c>
      <c r="EB116" s="35">
        <v>960</v>
      </c>
      <c r="EC116" s="35"/>
      <c r="ED116" s="35"/>
      <c r="EE116" s="35"/>
      <c r="EF116" s="35">
        <f t="shared" si="641"/>
        <v>33700</v>
      </c>
      <c r="EG116" s="35"/>
      <c r="EH116" s="35"/>
      <c r="EI116" s="35"/>
      <c r="EJ116" s="35"/>
      <c r="EK116" s="35"/>
      <c r="EL116" s="35"/>
      <c r="EM116" s="35">
        <v>31990</v>
      </c>
      <c r="EN116" s="35">
        <v>750</v>
      </c>
      <c r="EO116" s="35">
        <v>960</v>
      </c>
      <c r="EP116" s="35"/>
      <c r="EQ116" s="35"/>
      <c r="ER116" s="35"/>
      <c r="ES116" s="35">
        <f t="shared" si="642"/>
        <v>33700</v>
      </c>
      <c r="ET116" s="35"/>
      <c r="EU116" s="35"/>
      <c r="EV116" s="35"/>
      <c r="EW116" s="35"/>
      <c r="EX116" s="35"/>
      <c r="EY116" s="35"/>
      <c r="EZ116" s="35">
        <v>31990</v>
      </c>
      <c r="FA116" s="35">
        <v>750</v>
      </c>
      <c r="FB116" s="35">
        <v>960</v>
      </c>
      <c r="FC116" s="35"/>
      <c r="FD116" s="35"/>
      <c r="FE116" s="35"/>
      <c r="FF116" s="35">
        <f t="shared" si="643"/>
        <v>33700</v>
      </c>
      <c r="FG116" s="35">
        <f t="shared" si="644"/>
        <v>101100</v>
      </c>
      <c r="FH116" s="35">
        <f t="shared" si="645"/>
        <v>384615</v>
      </c>
    </row>
    <row r="117" spans="1:164" x14ac:dyDescent="0.35">
      <c r="A117" s="34"/>
      <c r="B117" s="40"/>
      <c r="C117" s="41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>
        <f t="shared" si="619"/>
        <v>0</v>
      </c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>
        <f t="shared" si="612"/>
        <v>0</v>
      </c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>
        <f t="shared" si="613"/>
        <v>0</v>
      </c>
      <c r="AQ117" s="35">
        <f t="shared" si="614"/>
        <v>0</v>
      </c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>
        <f t="shared" si="620"/>
        <v>0</v>
      </c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>
        <f t="shared" si="615"/>
        <v>0</v>
      </c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>
        <f t="shared" si="616"/>
        <v>0</v>
      </c>
      <c r="CE117" s="35">
        <f t="shared" si="621"/>
        <v>0</v>
      </c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>
        <f t="shared" si="622"/>
        <v>0</v>
      </c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>
        <f t="shared" si="617"/>
        <v>0</v>
      </c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>
        <f t="shared" si="623"/>
        <v>0</v>
      </c>
      <c r="DS117" s="35">
        <f t="shared" si="624"/>
        <v>0</v>
      </c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>
        <f t="shared" si="625"/>
        <v>0</v>
      </c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>
        <f t="shared" si="618"/>
        <v>0</v>
      </c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>
        <f t="shared" si="626"/>
        <v>0</v>
      </c>
      <c r="FG117" s="35">
        <f t="shared" si="627"/>
        <v>0</v>
      </c>
      <c r="FH117" s="35">
        <f t="shared" si="628"/>
        <v>0</v>
      </c>
    </row>
    <row r="118" spans="1:164" x14ac:dyDescent="0.35">
      <c r="A118" s="48"/>
      <c r="B118" s="49" t="s">
        <v>104</v>
      </c>
      <c r="C118" s="50"/>
      <c r="D118" s="51">
        <f>SUM(D98:D117)</f>
        <v>0</v>
      </c>
      <c r="E118" s="51">
        <f t="shared" ref="E118:O118" si="665">SUM(E98:E117)</f>
        <v>0</v>
      </c>
      <c r="F118" s="51">
        <f t="shared" si="665"/>
        <v>0</v>
      </c>
      <c r="G118" s="51">
        <f t="shared" si="665"/>
        <v>0</v>
      </c>
      <c r="H118" s="51">
        <f t="shared" si="665"/>
        <v>0</v>
      </c>
      <c r="I118" s="51">
        <f t="shared" si="665"/>
        <v>0</v>
      </c>
      <c r="J118" s="51">
        <f t="shared" si="665"/>
        <v>493260</v>
      </c>
      <c r="K118" s="51">
        <f t="shared" si="665"/>
        <v>13500</v>
      </c>
      <c r="L118" s="51">
        <f t="shared" si="665"/>
        <v>10647</v>
      </c>
      <c r="M118" s="51">
        <f t="shared" si="665"/>
        <v>21630</v>
      </c>
      <c r="N118" s="51">
        <f t="shared" si="665"/>
        <v>750</v>
      </c>
      <c r="O118" s="51">
        <f t="shared" si="665"/>
        <v>0</v>
      </c>
      <c r="P118" s="51">
        <f t="shared" si="619"/>
        <v>539787</v>
      </c>
      <c r="Q118" s="51">
        <f>SUM(Q98:Q117)</f>
        <v>0</v>
      </c>
      <c r="R118" s="51">
        <f t="shared" ref="R118" si="666">SUM(R98:R117)</f>
        <v>0</v>
      </c>
      <c r="S118" s="51">
        <f t="shared" ref="S118" si="667">SUM(S98:S117)</f>
        <v>0</v>
      </c>
      <c r="T118" s="51">
        <f t="shared" ref="T118" si="668">SUM(T98:T117)</f>
        <v>0</v>
      </c>
      <c r="U118" s="51">
        <f t="shared" ref="U118" si="669">SUM(U98:U117)</f>
        <v>0</v>
      </c>
      <c r="V118" s="51">
        <f t="shared" ref="V118" si="670">SUM(V98:V117)</f>
        <v>0</v>
      </c>
      <c r="W118" s="51">
        <f t="shared" ref="W118" si="671">SUM(W98:W117)</f>
        <v>493260</v>
      </c>
      <c r="X118" s="51">
        <f t="shared" ref="X118" si="672">SUM(X98:X117)</f>
        <v>13500</v>
      </c>
      <c r="Y118" s="51">
        <f t="shared" ref="Y118" si="673">SUM(Y98:Y117)</f>
        <v>10647</v>
      </c>
      <c r="Z118" s="51">
        <f t="shared" ref="Z118" si="674">SUM(Z98:Z117)</f>
        <v>21630</v>
      </c>
      <c r="AA118" s="51">
        <f t="shared" ref="AA118" si="675">SUM(AA98:AA117)</f>
        <v>750</v>
      </c>
      <c r="AB118" s="51">
        <f t="shared" ref="AB118" si="676">SUM(AB98:AB117)</f>
        <v>0</v>
      </c>
      <c r="AC118" s="51">
        <f t="shared" si="612"/>
        <v>539787</v>
      </c>
      <c r="AD118" s="51">
        <f>SUM(AD98:AD117)</f>
        <v>0</v>
      </c>
      <c r="AE118" s="51">
        <f t="shared" ref="AE118" si="677">SUM(AE98:AE117)</f>
        <v>0</v>
      </c>
      <c r="AF118" s="51">
        <f t="shared" ref="AF118" si="678">SUM(AF98:AF117)</f>
        <v>0</v>
      </c>
      <c r="AG118" s="51">
        <f t="shared" ref="AG118" si="679">SUM(AG98:AG117)</f>
        <v>0</v>
      </c>
      <c r="AH118" s="51">
        <f t="shared" ref="AH118" si="680">SUM(AH98:AH117)</f>
        <v>0</v>
      </c>
      <c r="AI118" s="51">
        <f t="shared" ref="AI118" si="681">SUM(AI98:AI117)</f>
        <v>0</v>
      </c>
      <c r="AJ118" s="51">
        <f t="shared" ref="AJ118" si="682">SUM(AJ98:AJ117)</f>
        <v>493260</v>
      </c>
      <c r="AK118" s="51">
        <f t="shared" ref="AK118" si="683">SUM(AK98:AK117)</f>
        <v>13500</v>
      </c>
      <c r="AL118" s="51">
        <f t="shared" ref="AL118" si="684">SUM(AL98:AL117)</f>
        <v>10647</v>
      </c>
      <c r="AM118" s="51">
        <f t="shared" ref="AM118" si="685">SUM(AM98:AM117)</f>
        <v>21630</v>
      </c>
      <c r="AN118" s="51">
        <f t="shared" ref="AN118" si="686">SUM(AN98:AN117)</f>
        <v>750</v>
      </c>
      <c r="AO118" s="51">
        <f t="shared" ref="AO118" si="687">SUM(AO98:AO117)</f>
        <v>0</v>
      </c>
      <c r="AP118" s="51">
        <f t="shared" si="613"/>
        <v>539787</v>
      </c>
      <c r="AQ118" s="51">
        <f t="shared" si="614"/>
        <v>1619361</v>
      </c>
      <c r="AR118" s="51">
        <f>SUM(AR98:AR117)</f>
        <v>0</v>
      </c>
      <c r="AS118" s="51">
        <f t="shared" ref="AS118" si="688">SUM(AS98:AS117)</f>
        <v>0</v>
      </c>
      <c r="AT118" s="51">
        <f t="shared" ref="AT118" si="689">SUM(AT98:AT117)</f>
        <v>0</v>
      </c>
      <c r="AU118" s="51">
        <f t="shared" ref="AU118" si="690">SUM(AU98:AU117)</f>
        <v>0</v>
      </c>
      <c r="AV118" s="51">
        <f t="shared" ref="AV118" si="691">SUM(AV98:AV117)</f>
        <v>0</v>
      </c>
      <c r="AW118" s="51">
        <f t="shared" ref="AW118" si="692">SUM(AW98:AW117)</f>
        <v>0</v>
      </c>
      <c r="AX118" s="51">
        <f t="shared" ref="AX118" si="693">SUM(AX98:AX117)</f>
        <v>493260</v>
      </c>
      <c r="AY118" s="51">
        <f t="shared" ref="AY118" si="694">SUM(AY98:AY117)</f>
        <v>13500</v>
      </c>
      <c r="AZ118" s="51">
        <f t="shared" ref="AZ118" si="695">SUM(AZ98:AZ117)</f>
        <v>13131</v>
      </c>
      <c r="BA118" s="51">
        <f t="shared" ref="BA118" si="696">SUM(BA98:BA117)</f>
        <v>21630</v>
      </c>
      <c r="BB118" s="51">
        <f t="shared" ref="BB118" si="697">SUM(BB98:BB117)</f>
        <v>750</v>
      </c>
      <c r="BC118" s="51">
        <f t="shared" ref="BC118" si="698">SUM(BC98:BC117)</f>
        <v>0</v>
      </c>
      <c r="BD118" s="51">
        <f t="shared" si="620"/>
        <v>542271</v>
      </c>
      <c r="BE118" s="51">
        <f>SUM(BE98:BE117)</f>
        <v>0</v>
      </c>
      <c r="BF118" s="51">
        <f t="shared" ref="BF118" si="699">SUM(BF98:BF117)</f>
        <v>0</v>
      </c>
      <c r="BG118" s="51">
        <f t="shared" ref="BG118" si="700">SUM(BG98:BG117)</f>
        <v>0</v>
      </c>
      <c r="BH118" s="51">
        <f t="shared" ref="BH118" si="701">SUM(BH98:BH117)</f>
        <v>0</v>
      </c>
      <c r="BI118" s="51">
        <f t="shared" ref="BI118" si="702">SUM(BI98:BI117)</f>
        <v>0</v>
      </c>
      <c r="BJ118" s="51">
        <f t="shared" ref="BJ118" si="703">SUM(BJ98:BJ117)</f>
        <v>0</v>
      </c>
      <c r="BK118" s="51">
        <f t="shared" ref="BK118" si="704">SUM(BK98:BK117)</f>
        <v>493260</v>
      </c>
      <c r="BL118" s="51">
        <f t="shared" ref="BL118" si="705">SUM(BL98:BL117)</f>
        <v>13500</v>
      </c>
      <c r="BM118" s="51">
        <f t="shared" ref="BM118" si="706">SUM(BM98:BM117)</f>
        <v>11475</v>
      </c>
      <c r="BN118" s="51">
        <f t="shared" ref="BN118" si="707">SUM(BN98:BN117)</f>
        <v>21630</v>
      </c>
      <c r="BO118" s="51">
        <f t="shared" ref="BO118" si="708">SUM(BO98:BO117)</f>
        <v>750</v>
      </c>
      <c r="BP118" s="51">
        <f t="shared" ref="BP118" si="709">SUM(BP98:BP117)</f>
        <v>0</v>
      </c>
      <c r="BQ118" s="51">
        <f t="shared" si="615"/>
        <v>540615</v>
      </c>
      <c r="BR118" s="51">
        <f>SUM(BR98:BR117)</f>
        <v>0</v>
      </c>
      <c r="BS118" s="51">
        <f t="shared" ref="BS118" si="710">SUM(BS98:BS117)</f>
        <v>0</v>
      </c>
      <c r="BT118" s="51">
        <f t="shared" ref="BT118" si="711">SUM(BT98:BT117)</f>
        <v>0</v>
      </c>
      <c r="BU118" s="51">
        <f t="shared" ref="BU118" si="712">SUM(BU98:BU117)</f>
        <v>0</v>
      </c>
      <c r="BV118" s="51">
        <f t="shared" ref="BV118" si="713">SUM(BV98:BV117)</f>
        <v>0</v>
      </c>
      <c r="BW118" s="51">
        <f t="shared" ref="BW118" si="714">SUM(BW98:BW117)</f>
        <v>0</v>
      </c>
      <c r="BX118" s="51">
        <f t="shared" ref="BX118" si="715">SUM(BX98:BX117)</f>
        <v>493260</v>
      </c>
      <c r="BY118" s="51">
        <f t="shared" ref="BY118" si="716">SUM(BY98:BY117)</f>
        <v>13500</v>
      </c>
      <c r="BZ118" s="51">
        <f t="shared" ref="BZ118" si="717">SUM(BZ98:BZ117)</f>
        <v>11475</v>
      </c>
      <c r="CA118" s="51">
        <f t="shared" ref="CA118" si="718">SUM(CA98:CA117)</f>
        <v>21630</v>
      </c>
      <c r="CB118" s="51">
        <f t="shared" ref="CB118" si="719">SUM(CB98:CB117)</f>
        <v>750</v>
      </c>
      <c r="CC118" s="51">
        <f t="shared" ref="CC118" si="720">SUM(CC98:CC117)</f>
        <v>0</v>
      </c>
      <c r="CD118" s="51">
        <f t="shared" si="616"/>
        <v>540615</v>
      </c>
      <c r="CE118" s="51">
        <f t="shared" si="621"/>
        <v>1623501</v>
      </c>
      <c r="CF118" s="51">
        <f>SUM(CF98:CF117)</f>
        <v>0</v>
      </c>
      <c r="CG118" s="51">
        <f t="shared" ref="CG118" si="721">SUM(CG98:CG117)</f>
        <v>0</v>
      </c>
      <c r="CH118" s="51">
        <f t="shared" ref="CH118" si="722">SUM(CH98:CH117)</f>
        <v>0</v>
      </c>
      <c r="CI118" s="51">
        <f t="shared" ref="CI118" si="723">SUM(CI98:CI117)</f>
        <v>0</v>
      </c>
      <c r="CJ118" s="51">
        <f t="shared" ref="CJ118" si="724">SUM(CJ98:CJ117)</f>
        <v>0</v>
      </c>
      <c r="CK118" s="51">
        <f t="shared" ref="CK118" si="725">SUM(CK98:CK117)</f>
        <v>0</v>
      </c>
      <c r="CL118" s="51">
        <f t="shared" ref="CL118" si="726">SUM(CL98:CL117)</f>
        <v>644880</v>
      </c>
      <c r="CM118" s="51">
        <f t="shared" ref="CM118" si="727">SUM(CM98:CM117)</f>
        <v>13500</v>
      </c>
      <c r="CN118" s="51">
        <f t="shared" ref="CN118" si="728">SUM(CN98:CN117)</f>
        <v>16218</v>
      </c>
      <c r="CO118" s="51">
        <f t="shared" ref="CO118" si="729">SUM(CO98:CO117)</f>
        <v>29260</v>
      </c>
      <c r="CP118" s="51">
        <f t="shared" ref="CP118" si="730">SUM(CP98:CP117)</f>
        <v>750</v>
      </c>
      <c r="CQ118" s="51">
        <f t="shared" ref="CQ118" si="731">SUM(CQ98:CQ117)</f>
        <v>0</v>
      </c>
      <c r="CR118" s="51">
        <f t="shared" si="622"/>
        <v>704608</v>
      </c>
      <c r="CS118" s="51">
        <f>SUM(CS98:CS117)</f>
        <v>0</v>
      </c>
      <c r="CT118" s="51">
        <f t="shared" ref="CT118" si="732">SUM(CT98:CT117)</f>
        <v>0</v>
      </c>
      <c r="CU118" s="51">
        <f t="shared" ref="CU118" si="733">SUM(CU98:CU117)</f>
        <v>0</v>
      </c>
      <c r="CV118" s="51">
        <f t="shared" ref="CV118" si="734">SUM(CV98:CV117)</f>
        <v>0</v>
      </c>
      <c r="CW118" s="51">
        <f t="shared" ref="CW118" si="735">SUM(CW98:CW117)</f>
        <v>0</v>
      </c>
      <c r="CX118" s="51">
        <f t="shared" ref="CX118" si="736">SUM(CX98:CX117)</f>
        <v>0</v>
      </c>
      <c r="CY118" s="51">
        <f t="shared" ref="CY118" si="737">SUM(CY98:CY117)</f>
        <v>869040</v>
      </c>
      <c r="CZ118" s="51">
        <f t="shared" ref="CZ118" si="738">SUM(CZ98:CZ117)</f>
        <v>13500</v>
      </c>
      <c r="DA118" s="51">
        <f t="shared" ref="DA118" si="739">SUM(DA98:DA117)</f>
        <v>20633</v>
      </c>
      <c r="DB118" s="51">
        <f t="shared" ref="DB118" si="740">SUM(DB98:DB117)</f>
        <v>29920</v>
      </c>
      <c r="DC118" s="51">
        <f t="shared" ref="DC118" si="741">SUM(DC98:DC117)</f>
        <v>750</v>
      </c>
      <c r="DD118" s="51">
        <f t="shared" ref="DD118" si="742">SUM(DD98:DD117)</f>
        <v>0</v>
      </c>
      <c r="DE118" s="51">
        <f t="shared" si="617"/>
        <v>933843</v>
      </c>
      <c r="DF118" s="51">
        <f>SUM(DF98:DF117)</f>
        <v>0</v>
      </c>
      <c r="DG118" s="51">
        <f t="shared" ref="DG118" si="743">SUM(DG98:DG117)</f>
        <v>0</v>
      </c>
      <c r="DH118" s="51">
        <f t="shared" ref="DH118" si="744">SUM(DH98:DH117)</f>
        <v>0</v>
      </c>
      <c r="DI118" s="51">
        <f t="shared" ref="DI118" si="745">SUM(DI98:DI117)</f>
        <v>0</v>
      </c>
      <c r="DJ118" s="51">
        <f t="shared" ref="DJ118" si="746">SUM(DJ98:DJ117)</f>
        <v>0</v>
      </c>
      <c r="DK118" s="51">
        <f t="shared" ref="DK118" si="747">SUM(DK98:DK117)</f>
        <v>0</v>
      </c>
      <c r="DL118" s="51">
        <f t="shared" ref="DL118" si="748">SUM(DL98:DL117)</f>
        <v>514920</v>
      </c>
      <c r="DM118" s="51">
        <f t="shared" ref="DM118" si="749">SUM(DM98:DM117)</f>
        <v>13500</v>
      </c>
      <c r="DN118" s="51">
        <f t="shared" ref="DN118" si="750">SUM(DN98:DN117)</f>
        <v>12857</v>
      </c>
      <c r="DO118" s="51">
        <f t="shared" ref="DO118" si="751">SUM(DO98:DO117)</f>
        <v>22720</v>
      </c>
      <c r="DP118" s="51">
        <f t="shared" ref="DP118" si="752">SUM(DP98:DP117)</f>
        <v>750</v>
      </c>
      <c r="DQ118" s="51">
        <f t="shared" ref="DQ118" si="753">SUM(DQ98:DQ117)</f>
        <v>0</v>
      </c>
      <c r="DR118" s="51">
        <f t="shared" si="623"/>
        <v>564747</v>
      </c>
      <c r="DS118" s="51">
        <f t="shared" si="624"/>
        <v>2203198</v>
      </c>
      <c r="DT118" s="51">
        <f>SUM(DT98:DT117)</f>
        <v>0</v>
      </c>
      <c r="DU118" s="51">
        <f t="shared" ref="DU118" si="754">SUM(DU98:DU117)</f>
        <v>0</v>
      </c>
      <c r="DV118" s="51">
        <f t="shared" ref="DV118" si="755">SUM(DV98:DV117)</f>
        <v>0</v>
      </c>
      <c r="DW118" s="51">
        <f t="shared" ref="DW118" si="756">SUM(DW98:DW117)</f>
        <v>0</v>
      </c>
      <c r="DX118" s="51">
        <f t="shared" ref="DX118" si="757">SUM(DX98:DX117)</f>
        <v>0</v>
      </c>
      <c r="DY118" s="51">
        <f t="shared" ref="DY118" si="758">SUM(DY98:DY117)</f>
        <v>0</v>
      </c>
      <c r="DZ118" s="51">
        <f t="shared" ref="DZ118" si="759">SUM(DZ98:DZ117)</f>
        <v>573940</v>
      </c>
      <c r="EA118" s="51">
        <f t="shared" ref="EA118" si="760">SUM(EA98:EA117)</f>
        <v>13500</v>
      </c>
      <c r="EB118" s="51">
        <f t="shared" ref="EB118" si="761">SUM(EB98:EB117)</f>
        <v>14281</v>
      </c>
      <c r="EC118" s="51">
        <f t="shared" ref="EC118" si="762">SUM(EC98:EC117)</f>
        <v>23920</v>
      </c>
      <c r="ED118" s="51">
        <f t="shared" ref="ED118" si="763">SUM(ED98:ED117)</f>
        <v>750</v>
      </c>
      <c r="EE118" s="51">
        <f t="shared" ref="EE118" si="764">SUM(EE98:EE117)</f>
        <v>0</v>
      </c>
      <c r="EF118" s="51">
        <f t="shared" si="625"/>
        <v>626391</v>
      </c>
      <c r="EG118" s="51">
        <f>SUM(EG98:EG117)</f>
        <v>0</v>
      </c>
      <c r="EH118" s="51">
        <f t="shared" ref="EH118" si="765">SUM(EH98:EH117)</f>
        <v>0</v>
      </c>
      <c r="EI118" s="51">
        <f t="shared" ref="EI118" si="766">SUM(EI98:EI117)</f>
        <v>0</v>
      </c>
      <c r="EJ118" s="51">
        <f t="shared" ref="EJ118" si="767">SUM(EJ98:EJ117)</f>
        <v>0</v>
      </c>
      <c r="EK118" s="51">
        <f t="shared" ref="EK118" si="768">SUM(EK98:EK117)</f>
        <v>0</v>
      </c>
      <c r="EL118" s="51">
        <f t="shared" ref="EL118" si="769">SUM(EL98:EL117)</f>
        <v>0</v>
      </c>
      <c r="EM118" s="51">
        <f t="shared" ref="EM118" si="770">SUM(EM98:EM117)</f>
        <v>573940</v>
      </c>
      <c r="EN118" s="51">
        <f t="shared" ref="EN118" si="771">SUM(EN98:EN117)</f>
        <v>13500</v>
      </c>
      <c r="EO118" s="51">
        <f t="shared" ref="EO118" si="772">SUM(EO98:EO117)</f>
        <v>14281</v>
      </c>
      <c r="EP118" s="51">
        <f t="shared" ref="EP118" si="773">SUM(EP98:EP117)</f>
        <v>23920</v>
      </c>
      <c r="EQ118" s="51">
        <f t="shared" ref="EQ118" si="774">SUM(EQ98:EQ117)</f>
        <v>750</v>
      </c>
      <c r="ER118" s="51">
        <f t="shared" ref="ER118" si="775">SUM(ER98:ER117)</f>
        <v>0</v>
      </c>
      <c r="ES118" s="51">
        <f t="shared" si="618"/>
        <v>626391</v>
      </c>
      <c r="ET118" s="51">
        <f>SUM(ET98:ET117)</f>
        <v>0</v>
      </c>
      <c r="EU118" s="51">
        <f t="shared" ref="EU118" si="776">SUM(EU98:EU117)</f>
        <v>0</v>
      </c>
      <c r="EV118" s="51">
        <f t="shared" ref="EV118" si="777">SUM(EV98:EV117)</f>
        <v>0</v>
      </c>
      <c r="EW118" s="51">
        <f t="shared" ref="EW118" si="778">SUM(EW98:EW117)</f>
        <v>0</v>
      </c>
      <c r="EX118" s="51">
        <f t="shared" ref="EX118" si="779">SUM(EX98:EX117)</f>
        <v>0</v>
      </c>
      <c r="EY118" s="51">
        <f t="shared" ref="EY118" si="780">SUM(EY98:EY117)</f>
        <v>0</v>
      </c>
      <c r="EZ118" s="51">
        <f t="shared" ref="EZ118" si="781">SUM(EZ98:EZ117)</f>
        <v>573940</v>
      </c>
      <c r="FA118" s="51">
        <f t="shared" ref="FA118" si="782">SUM(FA98:FA117)</f>
        <v>13500</v>
      </c>
      <c r="FB118" s="51">
        <f t="shared" ref="FB118" si="783">SUM(FB98:FB117)</f>
        <v>14281</v>
      </c>
      <c r="FC118" s="51">
        <f t="shared" ref="FC118" si="784">SUM(FC98:FC117)</f>
        <v>23920</v>
      </c>
      <c r="FD118" s="51">
        <f t="shared" ref="FD118" si="785">SUM(FD98:FD117)</f>
        <v>750</v>
      </c>
      <c r="FE118" s="51">
        <f t="shared" ref="FE118" si="786">SUM(FE98:FE117)</f>
        <v>0</v>
      </c>
      <c r="FF118" s="51">
        <f t="shared" si="626"/>
        <v>626391</v>
      </c>
      <c r="FG118" s="51">
        <f t="shared" si="627"/>
        <v>1879173</v>
      </c>
      <c r="FH118" s="35">
        <f t="shared" si="628"/>
        <v>7325233</v>
      </c>
    </row>
    <row r="119" spans="1:164" x14ac:dyDescent="0.35">
      <c r="A119" s="34" t="s">
        <v>4</v>
      </c>
      <c r="B119" s="40" t="s">
        <v>106</v>
      </c>
      <c r="C119" s="41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>
        <f t="shared" si="619"/>
        <v>0</v>
      </c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>
        <f t="shared" si="612"/>
        <v>0</v>
      </c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>
        <f t="shared" si="613"/>
        <v>0</v>
      </c>
      <c r="AQ119" s="35">
        <f t="shared" si="614"/>
        <v>0</v>
      </c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>
        <f t="shared" si="620"/>
        <v>0</v>
      </c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>
        <f t="shared" si="615"/>
        <v>0</v>
      </c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>
        <f t="shared" si="616"/>
        <v>0</v>
      </c>
      <c r="CE119" s="35">
        <f t="shared" si="621"/>
        <v>0</v>
      </c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>
        <f t="shared" si="622"/>
        <v>0</v>
      </c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>
        <f t="shared" si="617"/>
        <v>0</v>
      </c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>
        <f t="shared" si="623"/>
        <v>0</v>
      </c>
      <c r="DS119" s="35">
        <f t="shared" si="624"/>
        <v>0</v>
      </c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>
        <f t="shared" si="625"/>
        <v>0</v>
      </c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>
        <f t="shared" si="618"/>
        <v>0</v>
      </c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>
        <f t="shared" si="626"/>
        <v>0</v>
      </c>
      <c r="FG119" s="35">
        <f t="shared" si="627"/>
        <v>0</v>
      </c>
      <c r="FH119" s="35">
        <f t="shared" si="628"/>
        <v>0</v>
      </c>
    </row>
    <row r="120" spans="1:164" x14ac:dyDescent="0.35">
      <c r="A120" s="34"/>
      <c r="B120" s="40"/>
      <c r="C120" s="41" t="s">
        <v>203</v>
      </c>
      <c r="D120" s="35"/>
      <c r="E120" s="35"/>
      <c r="F120" s="35"/>
      <c r="G120" s="35">
        <v>22140</v>
      </c>
      <c r="H120" s="35">
        <v>750</v>
      </c>
      <c r="I120" s="35">
        <v>0</v>
      </c>
      <c r="J120" s="35"/>
      <c r="K120" s="35"/>
      <c r="L120" s="35"/>
      <c r="M120" s="35"/>
      <c r="N120" s="35"/>
      <c r="O120" s="35"/>
      <c r="P120" s="35">
        <f t="shared" si="619"/>
        <v>22890</v>
      </c>
      <c r="Q120" s="35"/>
      <c r="R120" s="35"/>
      <c r="S120" s="35"/>
      <c r="T120" s="35">
        <v>22140</v>
      </c>
      <c r="U120" s="35">
        <v>750</v>
      </c>
      <c r="V120" s="35">
        <v>0</v>
      </c>
      <c r="W120" s="35"/>
      <c r="X120" s="35"/>
      <c r="Y120" s="35"/>
      <c r="Z120" s="35"/>
      <c r="AA120" s="35"/>
      <c r="AB120" s="35"/>
      <c r="AC120" s="35">
        <f t="shared" si="612"/>
        <v>22890</v>
      </c>
      <c r="AD120" s="35"/>
      <c r="AE120" s="35"/>
      <c r="AF120" s="35"/>
      <c r="AG120" s="35">
        <v>22140</v>
      </c>
      <c r="AH120" s="35">
        <v>750</v>
      </c>
      <c r="AI120" s="35">
        <v>0</v>
      </c>
      <c r="AJ120" s="35"/>
      <c r="AK120" s="35"/>
      <c r="AL120" s="35"/>
      <c r="AM120" s="35"/>
      <c r="AN120" s="35"/>
      <c r="AO120" s="35"/>
      <c r="AP120" s="35">
        <f t="shared" si="613"/>
        <v>22890</v>
      </c>
      <c r="AQ120" s="35">
        <f t="shared" si="614"/>
        <v>68670</v>
      </c>
      <c r="AR120" s="35"/>
      <c r="AS120" s="35"/>
      <c r="AT120" s="35"/>
      <c r="AU120" s="35">
        <v>22140</v>
      </c>
      <c r="AV120" s="35">
        <v>750</v>
      </c>
      <c r="AW120" s="35">
        <v>0</v>
      </c>
      <c r="AX120" s="35"/>
      <c r="AY120" s="35"/>
      <c r="AZ120" s="35"/>
      <c r="BA120" s="35"/>
      <c r="BB120" s="35"/>
      <c r="BC120" s="35"/>
      <c r="BD120" s="35">
        <f t="shared" si="620"/>
        <v>22890</v>
      </c>
      <c r="BE120" s="35"/>
      <c r="BF120" s="35"/>
      <c r="BG120" s="35"/>
      <c r="BH120" s="35">
        <v>22140</v>
      </c>
      <c r="BI120" s="35">
        <v>750</v>
      </c>
      <c r="BJ120" s="35">
        <v>0</v>
      </c>
      <c r="BK120" s="35"/>
      <c r="BL120" s="35"/>
      <c r="BM120" s="35"/>
      <c r="BN120" s="35"/>
      <c r="BO120" s="35"/>
      <c r="BP120" s="35"/>
      <c r="BQ120" s="35">
        <f t="shared" si="615"/>
        <v>22890</v>
      </c>
      <c r="BR120" s="35"/>
      <c r="BS120" s="35"/>
      <c r="BT120" s="35"/>
      <c r="BU120" s="35">
        <v>22140</v>
      </c>
      <c r="BV120" s="35">
        <v>750</v>
      </c>
      <c r="BW120" s="35">
        <v>0</v>
      </c>
      <c r="BX120" s="35"/>
      <c r="BY120" s="35"/>
      <c r="BZ120" s="35"/>
      <c r="CA120" s="35"/>
      <c r="CB120" s="35"/>
      <c r="CC120" s="35"/>
      <c r="CD120" s="35">
        <f t="shared" si="616"/>
        <v>22890</v>
      </c>
      <c r="CE120" s="35">
        <f t="shared" si="621"/>
        <v>68670</v>
      </c>
      <c r="CF120" s="35"/>
      <c r="CG120" s="35"/>
      <c r="CH120" s="35"/>
      <c r="CI120" s="35">
        <f>23250+(1110*6)</f>
        <v>29910</v>
      </c>
      <c r="CJ120" s="35">
        <v>750</v>
      </c>
      <c r="CK120" s="35">
        <v>0</v>
      </c>
      <c r="CL120" s="35"/>
      <c r="CM120" s="35"/>
      <c r="CN120" s="35"/>
      <c r="CO120" s="35"/>
      <c r="CP120" s="35"/>
      <c r="CQ120" s="35"/>
      <c r="CR120" s="35">
        <f t="shared" si="622"/>
        <v>30660</v>
      </c>
      <c r="CS120" s="35"/>
      <c r="CT120" s="35"/>
      <c r="CU120" s="35"/>
      <c r="CV120" s="35">
        <f>23250+1200*6</f>
        <v>30450</v>
      </c>
      <c r="CW120" s="35">
        <v>750</v>
      </c>
      <c r="CX120" s="35">
        <v>0</v>
      </c>
      <c r="CY120" s="35"/>
      <c r="CZ120" s="35"/>
      <c r="DA120" s="35"/>
      <c r="DB120" s="35"/>
      <c r="DC120" s="35"/>
      <c r="DD120" s="35"/>
      <c r="DE120" s="35">
        <f t="shared" si="617"/>
        <v>31200</v>
      </c>
      <c r="DF120" s="35"/>
      <c r="DG120" s="35"/>
      <c r="DH120" s="35"/>
      <c r="DI120" s="35">
        <v>23250</v>
      </c>
      <c r="DJ120" s="35">
        <v>750</v>
      </c>
      <c r="DK120" s="35">
        <v>0</v>
      </c>
      <c r="DL120" s="35"/>
      <c r="DM120" s="35"/>
      <c r="DN120" s="35"/>
      <c r="DO120" s="35"/>
      <c r="DP120" s="35"/>
      <c r="DQ120" s="35"/>
      <c r="DR120" s="35">
        <f t="shared" si="623"/>
        <v>24000</v>
      </c>
      <c r="DS120" s="35">
        <f t="shared" si="624"/>
        <v>85860</v>
      </c>
      <c r="DT120" s="35"/>
      <c r="DU120" s="35"/>
      <c r="DV120" s="35"/>
      <c r="DW120" s="35">
        <v>24450</v>
      </c>
      <c r="DX120" s="35">
        <v>750</v>
      </c>
      <c r="DY120" s="35">
        <v>0</v>
      </c>
      <c r="DZ120" s="35"/>
      <c r="EA120" s="35"/>
      <c r="EB120" s="35"/>
      <c r="EC120" s="35"/>
      <c r="ED120" s="35"/>
      <c r="EE120" s="35"/>
      <c r="EF120" s="35">
        <f t="shared" si="625"/>
        <v>25200</v>
      </c>
      <c r="EG120" s="35"/>
      <c r="EH120" s="35"/>
      <c r="EI120" s="35"/>
      <c r="EJ120" s="35">
        <v>24450</v>
      </c>
      <c r="EK120" s="35">
        <v>750</v>
      </c>
      <c r="EL120" s="35">
        <v>0</v>
      </c>
      <c r="EM120" s="35"/>
      <c r="EN120" s="35"/>
      <c r="EO120" s="35"/>
      <c r="EP120" s="35"/>
      <c r="EQ120" s="35"/>
      <c r="ER120" s="35"/>
      <c r="ES120" s="35">
        <f t="shared" si="618"/>
        <v>25200</v>
      </c>
      <c r="ET120" s="35"/>
      <c r="EU120" s="35"/>
      <c r="EV120" s="35"/>
      <c r="EW120" s="35">
        <v>24450</v>
      </c>
      <c r="EX120" s="35">
        <v>750</v>
      </c>
      <c r="EY120" s="35">
        <v>0</v>
      </c>
      <c r="EZ120" s="35"/>
      <c r="FA120" s="35"/>
      <c r="FB120" s="35"/>
      <c r="FC120" s="35"/>
      <c r="FD120" s="35"/>
      <c r="FE120" s="35"/>
      <c r="FF120" s="35">
        <f t="shared" si="626"/>
        <v>25200</v>
      </c>
      <c r="FG120" s="35">
        <f t="shared" si="627"/>
        <v>75600</v>
      </c>
      <c r="FH120" s="35">
        <f t="shared" si="628"/>
        <v>298800</v>
      </c>
    </row>
    <row r="121" spans="1:164" x14ac:dyDescent="0.35">
      <c r="A121" s="34"/>
      <c r="B121" s="40"/>
      <c r="C121" s="41" t="s">
        <v>204</v>
      </c>
      <c r="D121" s="35">
        <v>26990</v>
      </c>
      <c r="E121" s="35">
        <v>750</v>
      </c>
      <c r="F121" s="35">
        <v>0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>
        <f t="shared" si="619"/>
        <v>27740</v>
      </c>
      <c r="Q121" s="35">
        <v>26990</v>
      </c>
      <c r="R121" s="35">
        <v>750</v>
      </c>
      <c r="S121" s="35">
        <v>0</v>
      </c>
      <c r="T121" s="35"/>
      <c r="U121" s="35"/>
      <c r="V121" s="35"/>
      <c r="W121" s="35"/>
      <c r="X121" s="35"/>
      <c r="Y121" s="35"/>
      <c r="Z121" s="35"/>
      <c r="AA121" s="35"/>
      <c r="AB121" s="35"/>
      <c r="AC121" s="35">
        <f t="shared" si="612"/>
        <v>27740</v>
      </c>
      <c r="AD121" s="35">
        <v>26990</v>
      </c>
      <c r="AE121" s="35">
        <v>750</v>
      </c>
      <c r="AF121" s="35">
        <v>0</v>
      </c>
      <c r="AG121" s="35"/>
      <c r="AH121" s="35"/>
      <c r="AI121" s="35"/>
      <c r="AJ121" s="35"/>
      <c r="AK121" s="35"/>
      <c r="AL121" s="35"/>
      <c r="AM121" s="35"/>
      <c r="AN121" s="35"/>
      <c r="AO121" s="35"/>
      <c r="AP121" s="35">
        <f t="shared" si="613"/>
        <v>27740</v>
      </c>
      <c r="AQ121" s="35">
        <f t="shared" si="614"/>
        <v>83220</v>
      </c>
      <c r="AR121" s="35">
        <v>26990</v>
      </c>
      <c r="AS121" s="35">
        <v>750</v>
      </c>
      <c r="AT121" s="35">
        <v>0</v>
      </c>
      <c r="AU121" s="35"/>
      <c r="AV121" s="35"/>
      <c r="AW121" s="35"/>
      <c r="AX121" s="35"/>
      <c r="AY121" s="35"/>
      <c r="AZ121" s="35"/>
      <c r="BA121" s="35"/>
      <c r="BB121" s="35"/>
      <c r="BC121" s="35"/>
      <c r="BD121" s="35">
        <f t="shared" si="620"/>
        <v>27740</v>
      </c>
      <c r="BE121" s="35">
        <v>26990</v>
      </c>
      <c r="BF121" s="35">
        <v>750</v>
      </c>
      <c r="BG121" s="35">
        <v>0</v>
      </c>
      <c r="BH121" s="35"/>
      <c r="BI121" s="35"/>
      <c r="BJ121" s="35"/>
      <c r="BK121" s="35"/>
      <c r="BL121" s="35"/>
      <c r="BM121" s="35"/>
      <c r="BN121" s="35"/>
      <c r="BO121" s="35"/>
      <c r="BP121" s="35"/>
      <c r="BQ121" s="35">
        <f t="shared" si="615"/>
        <v>27740</v>
      </c>
      <c r="BR121" s="35">
        <v>26990</v>
      </c>
      <c r="BS121" s="35">
        <v>750</v>
      </c>
      <c r="BT121" s="35">
        <v>0</v>
      </c>
      <c r="BU121" s="35"/>
      <c r="BV121" s="35"/>
      <c r="BW121" s="35"/>
      <c r="BX121" s="35"/>
      <c r="BY121" s="35"/>
      <c r="BZ121" s="35"/>
      <c r="CA121" s="35"/>
      <c r="CB121" s="35"/>
      <c r="CC121" s="35"/>
      <c r="CD121" s="35">
        <f t="shared" si="616"/>
        <v>27740</v>
      </c>
      <c r="CE121" s="35">
        <f t="shared" si="621"/>
        <v>83220</v>
      </c>
      <c r="CF121" s="35">
        <f>28340+(1350*6)</f>
        <v>36440</v>
      </c>
      <c r="CG121" s="35">
        <v>750</v>
      </c>
      <c r="CH121" s="35">
        <v>0</v>
      </c>
      <c r="CI121" s="35"/>
      <c r="CJ121" s="35"/>
      <c r="CK121" s="35"/>
      <c r="CL121" s="35"/>
      <c r="CM121" s="35"/>
      <c r="CN121" s="35"/>
      <c r="CO121" s="35"/>
      <c r="CP121" s="35"/>
      <c r="CQ121" s="35"/>
      <c r="CR121" s="35">
        <f t="shared" si="622"/>
        <v>37190</v>
      </c>
      <c r="CS121" s="35">
        <f>28340+2800*6</f>
        <v>45140</v>
      </c>
      <c r="CT121" s="35">
        <v>750</v>
      </c>
      <c r="CU121" s="35">
        <v>0</v>
      </c>
      <c r="CV121" s="35"/>
      <c r="CW121" s="35"/>
      <c r="CX121" s="35"/>
      <c r="CY121" s="35"/>
      <c r="CZ121" s="35"/>
      <c r="DA121" s="35"/>
      <c r="DB121" s="35"/>
      <c r="DC121" s="35"/>
      <c r="DD121" s="35"/>
      <c r="DE121" s="35">
        <f t="shared" si="617"/>
        <v>45890</v>
      </c>
      <c r="DF121" s="35">
        <v>28340</v>
      </c>
      <c r="DG121" s="35">
        <v>750</v>
      </c>
      <c r="DH121" s="35">
        <v>0</v>
      </c>
      <c r="DI121" s="35"/>
      <c r="DJ121" s="35"/>
      <c r="DK121" s="35"/>
      <c r="DL121" s="35"/>
      <c r="DM121" s="35"/>
      <c r="DN121" s="35"/>
      <c r="DO121" s="35"/>
      <c r="DP121" s="35"/>
      <c r="DQ121" s="35"/>
      <c r="DR121" s="35">
        <f t="shared" si="623"/>
        <v>29090</v>
      </c>
      <c r="DS121" s="35">
        <f t="shared" si="624"/>
        <v>112170</v>
      </c>
      <c r="DT121" s="35">
        <v>31140</v>
      </c>
      <c r="DU121" s="35">
        <v>750</v>
      </c>
      <c r="DV121" s="35">
        <v>0</v>
      </c>
      <c r="DW121" s="35"/>
      <c r="DX121" s="35"/>
      <c r="DY121" s="35"/>
      <c r="DZ121" s="35"/>
      <c r="EA121" s="35"/>
      <c r="EB121" s="35"/>
      <c r="EC121" s="35"/>
      <c r="ED121" s="35"/>
      <c r="EE121" s="35"/>
      <c r="EF121" s="35">
        <f t="shared" si="625"/>
        <v>31890</v>
      </c>
      <c r="EG121" s="35">
        <v>31140</v>
      </c>
      <c r="EH121" s="35">
        <v>750</v>
      </c>
      <c r="EI121" s="35">
        <v>0</v>
      </c>
      <c r="EJ121" s="35"/>
      <c r="EK121" s="35"/>
      <c r="EL121" s="35"/>
      <c r="EM121" s="35"/>
      <c r="EN121" s="35"/>
      <c r="EO121" s="35"/>
      <c r="EP121" s="35"/>
      <c r="EQ121" s="35"/>
      <c r="ER121" s="35"/>
      <c r="ES121" s="35">
        <f t="shared" si="618"/>
        <v>31890</v>
      </c>
      <c r="ET121" s="35">
        <v>31140</v>
      </c>
      <c r="EU121" s="35">
        <v>750</v>
      </c>
      <c r="EV121" s="35">
        <v>0</v>
      </c>
      <c r="EW121" s="35"/>
      <c r="EX121" s="35"/>
      <c r="EY121" s="35"/>
      <c r="EZ121" s="35"/>
      <c r="FA121" s="35"/>
      <c r="FB121" s="35"/>
      <c r="FC121" s="35"/>
      <c r="FD121" s="35"/>
      <c r="FE121" s="35"/>
      <c r="FF121" s="35">
        <f t="shared" si="626"/>
        <v>31890</v>
      </c>
      <c r="FG121" s="35">
        <f t="shared" si="627"/>
        <v>95670</v>
      </c>
      <c r="FH121" s="35">
        <f t="shared" si="628"/>
        <v>374280</v>
      </c>
    </row>
    <row r="122" spans="1:164" x14ac:dyDescent="0.35">
      <c r="A122" s="34"/>
      <c r="B122" s="40"/>
      <c r="C122" s="41" t="s">
        <v>205</v>
      </c>
      <c r="D122" s="35">
        <v>31000</v>
      </c>
      <c r="E122" s="35">
        <v>750</v>
      </c>
      <c r="F122" s="35">
        <v>930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>
        <f t="shared" si="619"/>
        <v>32680</v>
      </c>
      <c r="Q122" s="35">
        <v>31000</v>
      </c>
      <c r="R122" s="35">
        <v>750</v>
      </c>
      <c r="S122" s="35">
        <v>930</v>
      </c>
      <c r="T122" s="35"/>
      <c r="U122" s="35"/>
      <c r="V122" s="35"/>
      <c r="W122" s="35"/>
      <c r="X122" s="35"/>
      <c r="Y122" s="35"/>
      <c r="Z122" s="35"/>
      <c r="AA122" s="35"/>
      <c r="AB122" s="35"/>
      <c r="AC122" s="35">
        <f t="shared" si="612"/>
        <v>32680</v>
      </c>
      <c r="AD122" s="35">
        <v>31000</v>
      </c>
      <c r="AE122" s="35">
        <v>750</v>
      </c>
      <c r="AF122" s="35">
        <v>930</v>
      </c>
      <c r="AG122" s="35"/>
      <c r="AH122" s="35"/>
      <c r="AI122" s="35"/>
      <c r="AJ122" s="35"/>
      <c r="AK122" s="35"/>
      <c r="AL122" s="35"/>
      <c r="AM122" s="35"/>
      <c r="AN122" s="35"/>
      <c r="AO122" s="35"/>
      <c r="AP122" s="35">
        <f t="shared" si="613"/>
        <v>32680</v>
      </c>
      <c r="AQ122" s="35">
        <f t="shared" si="614"/>
        <v>98040</v>
      </c>
      <c r="AR122" s="35">
        <v>31000</v>
      </c>
      <c r="AS122" s="35">
        <v>750</v>
      </c>
      <c r="AT122" s="35">
        <v>930</v>
      </c>
      <c r="AU122" s="35"/>
      <c r="AV122" s="35"/>
      <c r="AW122" s="35"/>
      <c r="AX122" s="35"/>
      <c r="AY122" s="35"/>
      <c r="AZ122" s="35"/>
      <c r="BA122" s="35"/>
      <c r="BB122" s="35"/>
      <c r="BC122" s="35"/>
      <c r="BD122" s="35">
        <f t="shared" si="620"/>
        <v>32680</v>
      </c>
      <c r="BE122" s="35">
        <v>31000</v>
      </c>
      <c r="BF122" s="35">
        <v>750</v>
      </c>
      <c r="BG122" s="35">
        <v>930</v>
      </c>
      <c r="BH122" s="35"/>
      <c r="BI122" s="35"/>
      <c r="BJ122" s="35"/>
      <c r="BK122" s="35"/>
      <c r="BL122" s="35"/>
      <c r="BM122" s="35"/>
      <c r="BN122" s="35"/>
      <c r="BO122" s="35"/>
      <c r="BP122" s="35"/>
      <c r="BQ122" s="35">
        <f t="shared" si="615"/>
        <v>32680</v>
      </c>
      <c r="BR122" s="35">
        <v>31000</v>
      </c>
      <c r="BS122" s="35">
        <v>750</v>
      </c>
      <c r="BT122" s="35">
        <v>930</v>
      </c>
      <c r="BU122" s="35"/>
      <c r="BV122" s="35"/>
      <c r="BW122" s="35"/>
      <c r="BX122" s="35"/>
      <c r="BY122" s="35"/>
      <c r="BZ122" s="35"/>
      <c r="CA122" s="35"/>
      <c r="CB122" s="35"/>
      <c r="CC122" s="35"/>
      <c r="CD122" s="35">
        <f t="shared" si="616"/>
        <v>32680</v>
      </c>
      <c r="CE122" s="35">
        <f t="shared" si="621"/>
        <v>98040</v>
      </c>
      <c r="CF122" s="35">
        <f>32240+(1240*6)</f>
        <v>39680</v>
      </c>
      <c r="CG122" s="35">
        <v>750</v>
      </c>
      <c r="CH122" s="35">
        <f>967+(37*6)</f>
        <v>1189</v>
      </c>
      <c r="CI122" s="35"/>
      <c r="CJ122" s="35"/>
      <c r="CK122" s="35"/>
      <c r="CL122" s="35"/>
      <c r="CM122" s="35"/>
      <c r="CN122" s="35"/>
      <c r="CO122" s="35"/>
      <c r="CP122" s="35"/>
      <c r="CQ122" s="35"/>
      <c r="CR122" s="35">
        <f t="shared" si="622"/>
        <v>41619</v>
      </c>
      <c r="CS122" s="35">
        <f>32240+2800*6</f>
        <v>49040</v>
      </c>
      <c r="CT122" s="35">
        <v>750</v>
      </c>
      <c r="CU122" s="35">
        <f>967+84*6</f>
        <v>1471</v>
      </c>
      <c r="CV122" s="35"/>
      <c r="CW122" s="35"/>
      <c r="CX122" s="35"/>
      <c r="CY122" s="35"/>
      <c r="CZ122" s="35"/>
      <c r="DA122" s="35"/>
      <c r="DB122" s="35"/>
      <c r="DC122" s="35"/>
      <c r="DD122" s="35"/>
      <c r="DE122" s="35">
        <f t="shared" si="617"/>
        <v>51261</v>
      </c>
      <c r="DF122" s="35">
        <v>32240</v>
      </c>
      <c r="DG122" s="35">
        <v>750</v>
      </c>
      <c r="DH122" s="35">
        <v>967</v>
      </c>
      <c r="DI122" s="35"/>
      <c r="DJ122" s="35"/>
      <c r="DK122" s="35"/>
      <c r="DL122" s="35"/>
      <c r="DM122" s="35"/>
      <c r="DN122" s="35"/>
      <c r="DO122" s="35"/>
      <c r="DP122" s="35"/>
      <c r="DQ122" s="35"/>
      <c r="DR122" s="35">
        <f t="shared" si="623"/>
        <v>33957</v>
      </c>
      <c r="DS122" s="35">
        <f t="shared" si="624"/>
        <v>126837</v>
      </c>
      <c r="DT122" s="35">
        <v>35040</v>
      </c>
      <c r="DU122" s="35">
        <v>750</v>
      </c>
      <c r="DV122" s="35">
        <v>1051</v>
      </c>
      <c r="DW122" s="35"/>
      <c r="DX122" s="35"/>
      <c r="DY122" s="35"/>
      <c r="DZ122" s="35"/>
      <c r="EA122" s="35"/>
      <c r="EB122" s="35"/>
      <c r="EC122" s="35"/>
      <c r="ED122" s="35"/>
      <c r="EE122" s="35"/>
      <c r="EF122" s="35">
        <f t="shared" si="625"/>
        <v>36841</v>
      </c>
      <c r="EG122" s="35">
        <v>35040</v>
      </c>
      <c r="EH122" s="35">
        <v>750</v>
      </c>
      <c r="EI122" s="35">
        <v>1051</v>
      </c>
      <c r="EJ122" s="35"/>
      <c r="EK122" s="35"/>
      <c r="EL122" s="35"/>
      <c r="EM122" s="35"/>
      <c r="EN122" s="35"/>
      <c r="EO122" s="35"/>
      <c r="EP122" s="35"/>
      <c r="EQ122" s="35"/>
      <c r="ER122" s="35"/>
      <c r="ES122" s="35">
        <f t="shared" si="618"/>
        <v>36841</v>
      </c>
      <c r="ET122" s="35">
        <v>35040</v>
      </c>
      <c r="EU122" s="35">
        <v>750</v>
      </c>
      <c r="EV122" s="35">
        <v>1051</v>
      </c>
      <c r="EW122" s="35"/>
      <c r="EX122" s="35"/>
      <c r="EY122" s="35"/>
      <c r="EZ122" s="35"/>
      <c r="FA122" s="35"/>
      <c r="FB122" s="35"/>
      <c r="FC122" s="35"/>
      <c r="FD122" s="35"/>
      <c r="FE122" s="35"/>
      <c r="FF122" s="35">
        <f t="shared" si="626"/>
        <v>36841</v>
      </c>
      <c r="FG122" s="35">
        <f t="shared" si="627"/>
        <v>110523</v>
      </c>
      <c r="FH122" s="35">
        <f t="shared" si="628"/>
        <v>433440</v>
      </c>
    </row>
    <row r="123" spans="1:164" x14ac:dyDescent="0.35">
      <c r="A123" s="34"/>
      <c r="B123" s="40"/>
      <c r="C123" s="41" t="s">
        <v>265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>
        <f t="shared" ref="P123" si="787">SUM(D123:O123)</f>
        <v>0</v>
      </c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>
        <f t="shared" ref="AC123" si="788">SUM(Q123:AB123)</f>
        <v>0</v>
      </c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>
        <f t="shared" ref="AP123" si="789">SUM(AD123:AO123)</f>
        <v>0</v>
      </c>
      <c r="AQ123" s="35">
        <f t="shared" ref="AQ123" si="790">+P123+AC123+AP123</f>
        <v>0</v>
      </c>
      <c r="AR123" s="35">
        <f>10274.19+22750</f>
        <v>33024.19</v>
      </c>
      <c r="AS123" s="35">
        <f>514+750</f>
        <v>1264</v>
      </c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>
        <f t="shared" ref="BD123" si="791">SUM(AR123:BC123)</f>
        <v>34288.19</v>
      </c>
      <c r="BE123" s="35">
        <v>22750</v>
      </c>
      <c r="BF123" s="35">
        <v>750</v>
      </c>
      <c r="BG123" s="35">
        <v>0</v>
      </c>
      <c r="BH123" s="35"/>
      <c r="BI123" s="35"/>
      <c r="BJ123" s="35"/>
      <c r="BK123" s="35"/>
      <c r="BL123" s="35"/>
      <c r="BM123" s="35"/>
      <c r="BN123" s="35"/>
      <c r="BO123" s="35"/>
      <c r="BP123" s="35"/>
      <c r="BQ123" s="35">
        <f t="shared" ref="BQ123" si="792">SUM(BE123:BP123)</f>
        <v>23500</v>
      </c>
      <c r="BR123" s="35">
        <v>22750</v>
      </c>
      <c r="BS123" s="35">
        <v>750</v>
      </c>
      <c r="BT123" s="35">
        <v>0</v>
      </c>
      <c r="BU123" s="35"/>
      <c r="BV123" s="35"/>
      <c r="BW123" s="35"/>
      <c r="BX123" s="35"/>
      <c r="BY123" s="35"/>
      <c r="BZ123" s="35"/>
      <c r="CA123" s="35"/>
      <c r="CB123" s="35"/>
      <c r="CC123" s="35"/>
      <c r="CD123" s="35">
        <f t="shared" ref="CD123" si="793">SUM(BR123:CC123)</f>
        <v>23500</v>
      </c>
      <c r="CE123" s="35">
        <f t="shared" ref="CE123" si="794">+BD123+BQ123+CD123</f>
        <v>81288.19</v>
      </c>
      <c r="CF123" s="35">
        <v>22750</v>
      </c>
      <c r="CG123" s="35">
        <v>750</v>
      </c>
      <c r="CH123" s="35">
        <v>0</v>
      </c>
      <c r="CI123" s="35"/>
      <c r="CJ123" s="35"/>
      <c r="CK123" s="35"/>
      <c r="CL123" s="35"/>
      <c r="CM123" s="35"/>
      <c r="CN123" s="35"/>
      <c r="CO123" s="35"/>
      <c r="CP123" s="35"/>
      <c r="CQ123" s="35"/>
      <c r="CR123" s="35">
        <f t="shared" ref="CR123" si="795">SUM(CF123:CQ123)</f>
        <v>23500</v>
      </c>
      <c r="CS123" s="35">
        <f>22750+21000</f>
        <v>43750</v>
      </c>
      <c r="CT123" s="35">
        <v>750</v>
      </c>
      <c r="CU123" s="35">
        <v>0</v>
      </c>
      <c r="CV123" s="35"/>
      <c r="CW123" s="35"/>
      <c r="CX123" s="35"/>
      <c r="CY123" s="35"/>
      <c r="CZ123" s="35"/>
      <c r="DA123" s="35"/>
      <c r="DB123" s="35"/>
      <c r="DC123" s="35"/>
      <c r="DD123" s="35"/>
      <c r="DE123" s="35">
        <f t="shared" ref="DE123" si="796">SUM(CS123:DD123)</f>
        <v>44500</v>
      </c>
      <c r="DF123" s="35">
        <v>22750</v>
      </c>
      <c r="DG123" s="35">
        <v>750</v>
      </c>
      <c r="DH123" s="35">
        <v>0</v>
      </c>
      <c r="DI123" s="35"/>
      <c r="DJ123" s="35"/>
      <c r="DK123" s="35"/>
      <c r="DL123" s="35"/>
      <c r="DM123" s="35"/>
      <c r="DN123" s="35"/>
      <c r="DO123" s="35"/>
      <c r="DP123" s="35"/>
      <c r="DQ123" s="35"/>
      <c r="DR123" s="35">
        <f t="shared" ref="DR123" si="797">SUM(DF123:DQ123)</f>
        <v>23500</v>
      </c>
      <c r="DS123" s="35">
        <f t="shared" ref="DS123" si="798">+CR123+DE123+DR123</f>
        <v>91500</v>
      </c>
      <c r="DT123" s="35">
        <v>26250</v>
      </c>
      <c r="DU123" s="35">
        <v>750</v>
      </c>
      <c r="DV123" s="35">
        <v>0</v>
      </c>
      <c r="DW123" s="35"/>
      <c r="DX123" s="35"/>
      <c r="DY123" s="35"/>
      <c r="DZ123" s="35"/>
      <c r="EA123" s="35"/>
      <c r="EB123" s="35"/>
      <c r="EC123" s="35"/>
      <c r="ED123" s="35"/>
      <c r="EE123" s="35"/>
      <c r="EF123" s="35">
        <f t="shared" ref="EF123" si="799">SUM(DT123:EE123)</f>
        <v>27000</v>
      </c>
      <c r="EG123" s="35">
        <v>26250</v>
      </c>
      <c r="EH123" s="35">
        <v>750</v>
      </c>
      <c r="EI123" s="35">
        <v>0</v>
      </c>
      <c r="EJ123" s="35"/>
      <c r="EK123" s="35"/>
      <c r="EL123" s="35"/>
      <c r="EM123" s="35"/>
      <c r="EN123" s="35"/>
      <c r="EO123" s="35"/>
      <c r="EP123" s="35"/>
      <c r="EQ123" s="35"/>
      <c r="ER123" s="35"/>
      <c r="ES123" s="35">
        <f t="shared" ref="ES123" si="800">SUM(EG123:ER123)</f>
        <v>27000</v>
      </c>
      <c r="ET123" s="35">
        <v>26250</v>
      </c>
      <c r="EU123" s="35">
        <v>750</v>
      </c>
      <c r="EV123" s="35">
        <v>0</v>
      </c>
      <c r="EW123" s="35"/>
      <c r="EX123" s="35"/>
      <c r="EY123" s="35"/>
      <c r="EZ123" s="35"/>
      <c r="FA123" s="35"/>
      <c r="FB123" s="35"/>
      <c r="FC123" s="35"/>
      <c r="FD123" s="35"/>
      <c r="FE123" s="35"/>
      <c r="FF123" s="35">
        <f t="shared" ref="FF123" si="801">SUM(ET123:FE123)</f>
        <v>27000</v>
      </c>
      <c r="FG123" s="35">
        <f t="shared" ref="FG123" si="802">+EF123+ES123+FF123</f>
        <v>81000</v>
      </c>
      <c r="FH123" s="35">
        <f t="shared" ref="FH123" si="803">+AQ123+CE123+DS123+FG123</f>
        <v>253788.19</v>
      </c>
    </row>
    <row r="124" spans="1:164" x14ac:dyDescent="0.35">
      <c r="A124" s="34"/>
      <c r="B124" s="40"/>
      <c r="C124" s="41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>
        <f t="shared" si="619"/>
        <v>0</v>
      </c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>
        <f t="shared" si="612"/>
        <v>0</v>
      </c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>
        <f t="shared" si="613"/>
        <v>0</v>
      </c>
      <c r="AQ124" s="35">
        <f t="shared" si="614"/>
        <v>0</v>
      </c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>
        <f t="shared" si="620"/>
        <v>0</v>
      </c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>
        <f t="shared" si="615"/>
        <v>0</v>
      </c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>
        <f t="shared" si="616"/>
        <v>0</v>
      </c>
      <c r="CE124" s="35">
        <f t="shared" si="621"/>
        <v>0</v>
      </c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>
        <f t="shared" si="622"/>
        <v>0</v>
      </c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>
        <f t="shared" si="617"/>
        <v>0</v>
      </c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>
        <f t="shared" si="623"/>
        <v>0</v>
      </c>
      <c r="DS124" s="35">
        <f t="shared" si="624"/>
        <v>0</v>
      </c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>
        <f t="shared" si="625"/>
        <v>0</v>
      </c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>
        <f t="shared" si="618"/>
        <v>0</v>
      </c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>
        <f t="shared" si="626"/>
        <v>0</v>
      </c>
      <c r="FG124" s="35">
        <f t="shared" si="627"/>
        <v>0</v>
      </c>
      <c r="FH124" s="35">
        <f t="shared" si="628"/>
        <v>0</v>
      </c>
    </row>
    <row r="125" spans="1:164" x14ac:dyDescent="0.35">
      <c r="A125" s="48"/>
      <c r="B125" s="49" t="s">
        <v>106</v>
      </c>
      <c r="C125" s="50"/>
      <c r="D125" s="51">
        <f>SUM(D120:D124)</f>
        <v>57990</v>
      </c>
      <c r="E125" s="51">
        <f t="shared" ref="E125:O125" si="804">SUM(E120:E124)</f>
        <v>1500</v>
      </c>
      <c r="F125" s="51">
        <f t="shared" si="804"/>
        <v>930</v>
      </c>
      <c r="G125" s="51">
        <f t="shared" si="804"/>
        <v>22140</v>
      </c>
      <c r="H125" s="51">
        <f t="shared" si="804"/>
        <v>750</v>
      </c>
      <c r="I125" s="51">
        <f t="shared" si="804"/>
        <v>0</v>
      </c>
      <c r="J125" s="51">
        <f t="shared" si="804"/>
        <v>0</v>
      </c>
      <c r="K125" s="51">
        <f t="shared" si="804"/>
        <v>0</v>
      </c>
      <c r="L125" s="51">
        <f t="shared" si="804"/>
        <v>0</v>
      </c>
      <c r="M125" s="51">
        <f t="shared" si="804"/>
        <v>0</v>
      </c>
      <c r="N125" s="51">
        <f t="shared" si="804"/>
        <v>0</v>
      </c>
      <c r="O125" s="51">
        <f t="shared" si="804"/>
        <v>0</v>
      </c>
      <c r="P125" s="51">
        <f t="shared" si="619"/>
        <v>83310</v>
      </c>
      <c r="Q125" s="51">
        <f>SUM(Q120:Q124)</f>
        <v>57990</v>
      </c>
      <c r="R125" s="51">
        <f t="shared" ref="R125" si="805">SUM(R120:R124)</f>
        <v>1500</v>
      </c>
      <c r="S125" s="51">
        <f t="shared" ref="S125" si="806">SUM(S120:S124)</f>
        <v>930</v>
      </c>
      <c r="T125" s="51">
        <f t="shared" ref="T125" si="807">SUM(T120:T124)</f>
        <v>22140</v>
      </c>
      <c r="U125" s="51">
        <f t="shared" ref="U125" si="808">SUM(U120:U124)</f>
        <v>750</v>
      </c>
      <c r="V125" s="51">
        <f t="shared" ref="V125" si="809">SUM(V120:V124)</f>
        <v>0</v>
      </c>
      <c r="W125" s="51">
        <f t="shared" ref="W125" si="810">SUM(W120:W124)</f>
        <v>0</v>
      </c>
      <c r="X125" s="51">
        <f t="shared" ref="X125" si="811">SUM(X120:X124)</f>
        <v>0</v>
      </c>
      <c r="Y125" s="51">
        <f t="shared" ref="Y125" si="812">SUM(Y120:Y124)</f>
        <v>0</v>
      </c>
      <c r="Z125" s="51">
        <f t="shared" ref="Z125" si="813">SUM(Z120:Z124)</f>
        <v>0</v>
      </c>
      <c r="AA125" s="51">
        <f t="shared" ref="AA125" si="814">SUM(AA120:AA124)</f>
        <v>0</v>
      </c>
      <c r="AB125" s="51">
        <f t="shared" ref="AB125" si="815">SUM(AB120:AB124)</f>
        <v>0</v>
      </c>
      <c r="AC125" s="51">
        <f t="shared" si="612"/>
        <v>83310</v>
      </c>
      <c r="AD125" s="51">
        <f>SUM(AD120:AD124)</f>
        <v>57990</v>
      </c>
      <c r="AE125" s="51">
        <f t="shared" ref="AE125" si="816">SUM(AE120:AE124)</f>
        <v>1500</v>
      </c>
      <c r="AF125" s="51">
        <f t="shared" ref="AF125" si="817">SUM(AF120:AF124)</f>
        <v>930</v>
      </c>
      <c r="AG125" s="51">
        <f t="shared" ref="AG125" si="818">SUM(AG120:AG124)</f>
        <v>22140</v>
      </c>
      <c r="AH125" s="51">
        <f t="shared" ref="AH125" si="819">SUM(AH120:AH124)</f>
        <v>750</v>
      </c>
      <c r="AI125" s="51">
        <f t="shared" ref="AI125" si="820">SUM(AI120:AI124)</f>
        <v>0</v>
      </c>
      <c r="AJ125" s="51">
        <f t="shared" ref="AJ125" si="821">SUM(AJ120:AJ124)</f>
        <v>0</v>
      </c>
      <c r="AK125" s="51">
        <f t="shared" ref="AK125" si="822">SUM(AK120:AK124)</f>
        <v>0</v>
      </c>
      <c r="AL125" s="51">
        <f t="shared" ref="AL125" si="823">SUM(AL120:AL124)</f>
        <v>0</v>
      </c>
      <c r="AM125" s="51">
        <f t="shared" ref="AM125" si="824">SUM(AM120:AM124)</f>
        <v>0</v>
      </c>
      <c r="AN125" s="51">
        <f t="shared" ref="AN125" si="825">SUM(AN120:AN124)</f>
        <v>0</v>
      </c>
      <c r="AO125" s="51">
        <f t="shared" ref="AO125" si="826">SUM(AO120:AO124)</f>
        <v>0</v>
      </c>
      <c r="AP125" s="51">
        <f t="shared" si="613"/>
        <v>83310</v>
      </c>
      <c r="AQ125" s="51">
        <f t="shared" si="614"/>
        <v>249930</v>
      </c>
      <c r="AR125" s="51">
        <f>SUM(AR120:AR124)</f>
        <v>91014.19</v>
      </c>
      <c r="AS125" s="51">
        <f t="shared" ref="AS125" si="827">SUM(AS120:AS124)</f>
        <v>2764</v>
      </c>
      <c r="AT125" s="51">
        <f t="shared" ref="AT125" si="828">SUM(AT120:AT124)</f>
        <v>930</v>
      </c>
      <c r="AU125" s="51">
        <f t="shared" ref="AU125" si="829">SUM(AU120:AU124)</f>
        <v>22140</v>
      </c>
      <c r="AV125" s="51">
        <f t="shared" ref="AV125" si="830">SUM(AV120:AV124)</f>
        <v>750</v>
      </c>
      <c r="AW125" s="51">
        <f t="shared" ref="AW125" si="831">SUM(AW120:AW124)</f>
        <v>0</v>
      </c>
      <c r="AX125" s="51">
        <f t="shared" ref="AX125" si="832">SUM(AX120:AX124)</f>
        <v>0</v>
      </c>
      <c r="AY125" s="51">
        <f t="shared" ref="AY125" si="833">SUM(AY120:AY124)</f>
        <v>0</v>
      </c>
      <c r="AZ125" s="51">
        <f t="shared" ref="AZ125" si="834">SUM(AZ120:AZ124)</f>
        <v>0</v>
      </c>
      <c r="BA125" s="51">
        <f t="shared" ref="BA125" si="835">SUM(BA120:BA124)</f>
        <v>0</v>
      </c>
      <c r="BB125" s="51">
        <f t="shared" ref="BB125" si="836">SUM(BB120:BB124)</f>
        <v>0</v>
      </c>
      <c r="BC125" s="51">
        <f t="shared" ref="BC125" si="837">SUM(BC120:BC124)</f>
        <v>0</v>
      </c>
      <c r="BD125" s="51">
        <f t="shared" si="620"/>
        <v>117598.19</v>
      </c>
      <c r="BE125" s="51">
        <f>SUM(BE120:BE124)</f>
        <v>80740</v>
      </c>
      <c r="BF125" s="51">
        <f t="shared" ref="BF125" si="838">SUM(BF120:BF124)</f>
        <v>2250</v>
      </c>
      <c r="BG125" s="51">
        <f t="shared" ref="BG125" si="839">SUM(BG120:BG124)</f>
        <v>930</v>
      </c>
      <c r="BH125" s="51">
        <f t="shared" ref="BH125" si="840">SUM(BH120:BH124)</f>
        <v>22140</v>
      </c>
      <c r="BI125" s="51">
        <f t="shared" ref="BI125" si="841">SUM(BI120:BI124)</f>
        <v>750</v>
      </c>
      <c r="BJ125" s="51">
        <f t="shared" ref="BJ125" si="842">SUM(BJ120:BJ124)</f>
        <v>0</v>
      </c>
      <c r="BK125" s="51">
        <f t="shared" ref="BK125" si="843">SUM(BK120:BK124)</f>
        <v>0</v>
      </c>
      <c r="BL125" s="51">
        <f t="shared" ref="BL125" si="844">SUM(BL120:BL124)</f>
        <v>0</v>
      </c>
      <c r="BM125" s="51">
        <f t="shared" ref="BM125" si="845">SUM(BM120:BM124)</f>
        <v>0</v>
      </c>
      <c r="BN125" s="51">
        <f t="shared" ref="BN125" si="846">SUM(BN120:BN124)</f>
        <v>0</v>
      </c>
      <c r="BO125" s="51">
        <f t="shared" ref="BO125" si="847">SUM(BO120:BO124)</f>
        <v>0</v>
      </c>
      <c r="BP125" s="51">
        <f t="shared" ref="BP125" si="848">SUM(BP120:BP124)</f>
        <v>0</v>
      </c>
      <c r="BQ125" s="51">
        <f t="shared" si="615"/>
        <v>106810</v>
      </c>
      <c r="BR125" s="51">
        <f>SUM(BR120:BR124)</f>
        <v>80740</v>
      </c>
      <c r="BS125" s="51">
        <f t="shared" ref="BS125" si="849">SUM(BS120:BS124)</f>
        <v>2250</v>
      </c>
      <c r="BT125" s="51">
        <f t="shared" ref="BT125" si="850">SUM(BT120:BT124)</f>
        <v>930</v>
      </c>
      <c r="BU125" s="51">
        <f t="shared" ref="BU125" si="851">SUM(BU120:BU124)</f>
        <v>22140</v>
      </c>
      <c r="BV125" s="51">
        <f t="shared" ref="BV125" si="852">SUM(BV120:BV124)</f>
        <v>750</v>
      </c>
      <c r="BW125" s="51">
        <f t="shared" ref="BW125" si="853">SUM(BW120:BW124)</f>
        <v>0</v>
      </c>
      <c r="BX125" s="51">
        <f t="shared" ref="BX125" si="854">SUM(BX120:BX124)</f>
        <v>0</v>
      </c>
      <c r="BY125" s="51">
        <f t="shared" ref="BY125" si="855">SUM(BY120:BY124)</f>
        <v>0</v>
      </c>
      <c r="BZ125" s="51">
        <f t="shared" ref="BZ125" si="856">SUM(BZ120:BZ124)</f>
        <v>0</v>
      </c>
      <c r="CA125" s="51">
        <f t="shared" ref="CA125" si="857">SUM(CA120:CA124)</f>
        <v>0</v>
      </c>
      <c r="CB125" s="51">
        <f t="shared" ref="CB125" si="858">SUM(CB120:CB124)</f>
        <v>0</v>
      </c>
      <c r="CC125" s="51">
        <f t="shared" ref="CC125" si="859">SUM(CC120:CC124)</f>
        <v>0</v>
      </c>
      <c r="CD125" s="51">
        <f t="shared" si="616"/>
        <v>106810</v>
      </c>
      <c r="CE125" s="51">
        <f t="shared" si="621"/>
        <v>331218.19</v>
      </c>
      <c r="CF125" s="51">
        <f>SUM(CF120:CF124)</f>
        <v>98870</v>
      </c>
      <c r="CG125" s="51">
        <f t="shared" ref="CG125" si="860">SUM(CG120:CG124)</f>
        <v>2250</v>
      </c>
      <c r="CH125" s="51">
        <f t="shared" ref="CH125" si="861">SUM(CH120:CH124)</f>
        <v>1189</v>
      </c>
      <c r="CI125" s="51">
        <f t="shared" ref="CI125" si="862">SUM(CI120:CI124)</f>
        <v>29910</v>
      </c>
      <c r="CJ125" s="51">
        <f t="shared" ref="CJ125" si="863">SUM(CJ120:CJ124)</f>
        <v>750</v>
      </c>
      <c r="CK125" s="51">
        <f t="shared" ref="CK125" si="864">SUM(CK120:CK124)</f>
        <v>0</v>
      </c>
      <c r="CL125" s="51">
        <f t="shared" ref="CL125" si="865">SUM(CL120:CL124)</f>
        <v>0</v>
      </c>
      <c r="CM125" s="51">
        <f t="shared" ref="CM125" si="866">SUM(CM120:CM124)</f>
        <v>0</v>
      </c>
      <c r="CN125" s="51">
        <f t="shared" ref="CN125" si="867">SUM(CN120:CN124)</f>
        <v>0</v>
      </c>
      <c r="CO125" s="51">
        <f t="shared" ref="CO125" si="868">SUM(CO120:CO124)</f>
        <v>0</v>
      </c>
      <c r="CP125" s="51">
        <f t="shared" ref="CP125" si="869">SUM(CP120:CP124)</f>
        <v>0</v>
      </c>
      <c r="CQ125" s="51">
        <f t="shared" ref="CQ125" si="870">SUM(CQ120:CQ124)</f>
        <v>0</v>
      </c>
      <c r="CR125" s="51">
        <f t="shared" si="622"/>
        <v>132969</v>
      </c>
      <c r="CS125" s="51">
        <f>SUM(CS120:CS124)</f>
        <v>137930</v>
      </c>
      <c r="CT125" s="51">
        <f t="shared" ref="CT125" si="871">SUM(CT120:CT124)</f>
        <v>2250</v>
      </c>
      <c r="CU125" s="51">
        <f t="shared" ref="CU125" si="872">SUM(CU120:CU124)</f>
        <v>1471</v>
      </c>
      <c r="CV125" s="51">
        <f t="shared" ref="CV125" si="873">SUM(CV120:CV124)</f>
        <v>30450</v>
      </c>
      <c r="CW125" s="51">
        <f t="shared" ref="CW125" si="874">SUM(CW120:CW124)</f>
        <v>750</v>
      </c>
      <c r="CX125" s="51">
        <f t="shared" ref="CX125" si="875">SUM(CX120:CX124)</f>
        <v>0</v>
      </c>
      <c r="CY125" s="51">
        <f t="shared" ref="CY125" si="876">SUM(CY120:CY124)</f>
        <v>0</v>
      </c>
      <c r="CZ125" s="51">
        <f t="shared" ref="CZ125" si="877">SUM(CZ120:CZ124)</f>
        <v>0</v>
      </c>
      <c r="DA125" s="51">
        <f t="shared" ref="DA125" si="878">SUM(DA120:DA124)</f>
        <v>0</v>
      </c>
      <c r="DB125" s="51">
        <f t="shared" ref="DB125" si="879">SUM(DB120:DB124)</f>
        <v>0</v>
      </c>
      <c r="DC125" s="51">
        <f t="shared" ref="DC125" si="880">SUM(DC120:DC124)</f>
        <v>0</v>
      </c>
      <c r="DD125" s="51">
        <f t="shared" ref="DD125" si="881">SUM(DD120:DD124)</f>
        <v>0</v>
      </c>
      <c r="DE125" s="51">
        <f t="shared" si="617"/>
        <v>172851</v>
      </c>
      <c r="DF125" s="51">
        <f>SUM(DF120:DF124)</f>
        <v>83330</v>
      </c>
      <c r="DG125" s="51">
        <f t="shared" ref="DG125" si="882">SUM(DG120:DG124)</f>
        <v>2250</v>
      </c>
      <c r="DH125" s="51">
        <f t="shared" ref="DH125" si="883">SUM(DH120:DH124)</f>
        <v>967</v>
      </c>
      <c r="DI125" s="51">
        <f t="shared" ref="DI125" si="884">SUM(DI120:DI124)</f>
        <v>23250</v>
      </c>
      <c r="DJ125" s="51">
        <f t="shared" ref="DJ125" si="885">SUM(DJ120:DJ124)</f>
        <v>750</v>
      </c>
      <c r="DK125" s="51">
        <f t="shared" ref="DK125" si="886">SUM(DK120:DK124)</f>
        <v>0</v>
      </c>
      <c r="DL125" s="51">
        <f t="shared" ref="DL125" si="887">SUM(DL120:DL124)</f>
        <v>0</v>
      </c>
      <c r="DM125" s="51">
        <f t="shared" ref="DM125" si="888">SUM(DM120:DM124)</f>
        <v>0</v>
      </c>
      <c r="DN125" s="51">
        <f t="shared" ref="DN125" si="889">SUM(DN120:DN124)</f>
        <v>0</v>
      </c>
      <c r="DO125" s="51">
        <f t="shared" ref="DO125" si="890">SUM(DO120:DO124)</f>
        <v>0</v>
      </c>
      <c r="DP125" s="51">
        <f t="shared" ref="DP125" si="891">SUM(DP120:DP124)</f>
        <v>0</v>
      </c>
      <c r="DQ125" s="51">
        <f t="shared" ref="DQ125" si="892">SUM(DQ120:DQ124)</f>
        <v>0</v>
      </c>
      <c r="DR125" s="51">
        <f t="shared" si="623"/>
        <v>110547</v>
      </c>
      <c r="DS125" s="51">
        <f t="shared" si="624"/>
        <v>416367</v>
      </c>
      <c r="DT125" s="51">
        <f>SUM(DT120:DT124)</f>
        <v>92430</v>
      </c>
      <c r="DU125" s="51">
        <f t="shared" ref="DU125" si="893">SUM(DU120:DU124)</f>
        <v>2250</v>
      </c>
      <c r="DV125" s="51">
        <f t="shared" ref="DV125" si="894">SUM(DV120:DV124)</f>
        <v>1051</v>
      </c>
      <c r="DW125" s="51">
        <f t="shared" ref="DW125" si="895">SUM(DW120:DW124)</f>
        <v>24450</v>
      </c>
      <c r="DX125" s="51">
        <f t="shared" ref="DX125" si="896">SUM(DX120:DX124)</f>
        <v>750</v>
      </c>
      <c r="DY125" s="51">
        <f t="shared" ref="DY125" si="897">SUM(DY120:DY124)</f>
        <v>0</v>
      </c>
      <c r="DZ125" s="51">
        <f t="shared" ref="DZ125" si="898">SUM(DZ120:DZ124)</f>
        <v>0</v>
      </c>
      <c r="EA125" s="51">
        <f t="shared" ref="EA125" si="899">SUM(EA120:EA124)</f>
        <v>0</v>
      </c>
      <c r="EB125" s="51">
        <f t="shared" ref="EB125" si="900">SUM(EB120:EB124)</f>
        <v>0</v>
      </c>
      <c r="EC125" s="51">
        <f t="shared" ref="EC125" si="901">SUM(EC120:EC124)</f>
        <v>0</v>
      </c>
      <c r="ED125" s="51">
        <f t="shared" ref="ED125" si="902">SUM(ED120:ED124)</f>
        <v>0</v>
      </c>
      <c r="EE125" s="51">
        <f t="shared" ref="EE125" si="903">SUM(EE120:EE124)</f>
        <v>0</v>
      </c>
      <c r="EF125" s="51">
        <f t="shared" si="625"/>
        <v>120931</v>
      </c>
      <c r="EG125" s="51">
        <f>SUM(EG120:EG124)</f>
        <v>92430</v>
      </c>
      <c r="EH125" s="51">
        <f t="shared" ref="EH125" si="904">SUM(EH120:EH124)</f>
        <v>2250</v>
      </c>
      <c r="EI125" s="51">
        <f t="shared" ref="EI125" si="905">SUM(EI120:EI124)</f>
        <v>1051</v>
      </c>
      <c r="EJ125" s="51">
        <f t="shared" ref="EJ125" si="906">SUM(EJ120:EJ124)</f>
        <v>24450</v>
      </c>
      <c r="EK125" s="51">
        <f t="shared" ref="EK125" si="907">SUM(EK120:EK124)</f>
        <v>750</v>
      </c>
      <c r="EL125" s="51">
        <f t="shared" ref="EL125" si="908">SUM(EL120:EL124)</f>
        <v>0</v>
      </c>
      <c r="EM125" s="51">
        <f t="shared" ref="EM125" si="909">SUM(EM120:EM124)</f>
        <v>0</v>
      </c>
      <c r="EN125" s="51">
        <f t="shared" ref="EN125" si="910">SUM(EN120:EN124)</f>
        <v>0</v>
      </c>
      <c r="EO125" s="51">
        <f t="shared" ref="EO125" si="911">SUM(EO120:EO124)</f>
        <v>0</v>
      </c>
      <c r="EP125" s="51">
        <f t="shared" ref="EP125" si="912">SUM(EP120:EP124)</f>
        <v>0</v>
      </c>
      <c r="EQ125" s="51">
        <f t="shared" ref="EQ125" si="913">SUM(EQ120:EQ124)</f>
        <v>0</v>
      </c>
      <c r="ER125" s="51">
        <f t="shared" ref="ER125" si="914">SUM(ER120:ER124)</f>
        <v>0</v>
      </c>
      <c r="ES125" s="51">
        <f t="shared" si="618"/>
        <v>120931</v>
      </c>
      <c r="ET125" s="51">
        <f>SUM(ET120:ET124)</f>
        <v>92430</v>
      </c>
      <c r="EU125" s="51">
        <f t="shared" ref="EU125" si="915">SUM(EU120:EU124)</f>
        <v>2250</v>
      </c>
      <c r="EV125" s="51">
        <f t="shared" ref="EV125" si="916">SUM(EV120:EV124)</f>
        <v>1051</v>
      </c>
      <c r="EW125" s="51">
        <f t="shared" ref="EW125" si="917">SUM(EW120:EW124)</f>
        <v>24450</v>
      </c>
      <c r="EX125" s="51">
        <f t="shared" ref="EX125" si="918">SUM(EX120:EX124)</f>
        <v>750</v>
      </c>
      <c r="EY125" s="51">
        <f t="shared" ref="EY125" si="919">SUM(EY120:EY124)</f>
        <v>0</v>
      </c>
      <c r="EZ125" s="51">
        <f t="shared" ref="EZ125" si="920">SUM(EZ120:EZ124)</f>
        <v>0</v>
      </c>
      <c r="FA125" s="51">
        <f t="shared" ref="FA125" si="921">SUM(FA120:FA124)</f>
        <v>0</v>
      </c>
      <c r="FB125" s="51">
        <f t="shared" ref="FB125" si="922">SUM(FB120:FB124)</f>
        <v>0</v>
      </c>
      <c r="FC125" s="51">
        <f t="shared" ref="FC125" si="923">SUM(FC120:FC124)</f>
        <v>0</v>
      </c>
      <c r="FD125" s="51">
        <f t="shared" ref="FD125" si="924">SUM(FD120:FD124)</f>
        <v>0</v>
      </c>
      <c r="FE125" s="51">
        <f t="shared" ref="FE125" si="925">SUM(FE120:FE124)</f>
        <v>0</v>
      </c>
      <c r="FF125" s="51">
        <f t="shared" si="626"/>
        <v>120931</v>
      </c>
      <c r="FG125" s="51">
        <f t="shared" si="627"/>
        <v>362793</v>
      </c>
      <c r="FH125" s="35">
        <f t="shared" si="628"/>
        <v>1360308.19</v>
      </c>
    </row>
    <row r="126" spans="1:164" x14ac:dyDescent="0.35">
      <c r="A126" s="34" t="s">
        <v>4</v>
      </c>
      <c r="B126" s="40" t="s">
        <v>27</v>
      </c>
      <c r="C126" s="41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>
        <f t="shared" si="619"/>
        <v>0</v>
      </c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>
        <f t="shared" si="612"/>
        <v>0</v>
      </c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>
        <f t="shared" si="613"/>
        <v>0</v>
      </c>
      <c r="AQ126" s="35">
        <f t="shared" si="614"/>
        <v>0</v>
      </c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>
        <f t="shared" si="620"/>
        <v>0</v>
      </c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>
        <f t="shared" si="615"/>
        <v>0</v>
      </c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>
        <f t="shared" si="616"/>
        <v>0</v>
      </c>
      <c r="CE126" s="35">
        <f t="shared" si="621"/>
        <v>0</v>
      </c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>
        <f t="shared" si="622"/>
        <v>0</v>
      </c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>
        <f t="shared" si="617"/>
        <v>0</v>
      </c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>
        <f t="shared" si="623"/>
        <v>0</v>
      </c>
      <c r="DS126" s="35">
        <f t="shared" si="624"/>
        <v>0</v>
      </c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>
        <f t="shared" si="625"/>
        <v>0</v>
      </c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>
        <f t="shared" si="618"/>
        <v>0</v>
      </c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>
        <f t="shared" si="626"/>
        <v>0</v>
      </c>
      <c r="FG126" s="35">
        <f t="shared" si="627"/>
        <v>0</v>
      </c>
      <c r="FH126" s="35">
        <f t="shared" si="628"/>
        <v>0</v>
      </c>
    </row>
    <row r="127" spans="1:164" x14ac:dyDescent="0.35">
      <c r="A127" s="34"/>
      <c r="B127" s="40"/>
      <c r="C127" s="41" t="s">
        <v>206</v>
      </c>
      <c r="D127" s="35">
        <v>33290</v>
      </c>
      <c r="E127" s="35">
        <v>750</v>
      </c>
      <c r="F127" s="35">
        <v>999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>
        <f t="shared" si="619"/>
        <v>35039</v>
      </c>
      <c r="Q127" s="35">
        <v>33290</v>
      </c>
      <c r="R127" s="35">
        <v>750</v>
      </c>
      <c r="S127" s="35">
        <v>999</v>
      </c>
      <c r="T127" s="35"/>
      <c r="U127" s="35"/>
      <c r="V127" s="35"/>
      <c r="W127" s="35"/>
      <c r="X127" s="35"/>
      <c r="Y127" s="35"/>
      <c r="Z127" s="35"/>
      <c r="AA127" s="35"/>
      <c r="AB127" s="35"/>
      <c r="AC127" s="35">
        <f t="shared" si="612"/>
        <v>35039</v>
      </c>
      <c r="AD127" s="35">
        <v>33290</v>
      </c>
      <c r="AE127" s="35">
        <v>750</v>
      </c>
      <c r="AF127" s="35">
        <v>999</v>
      </c>
      <c r="AG127" s="35"/>
      <c r="AH127" s="35"/>
      <c r="AI127" s="35"/>
      <c r="AJ127" s="35"/>
      <c r="AK127" s="35"/>
      <c r="AL127" s="35"/>
      <c r="AM127" s="35"/>
      <c r="AN127" s="35"/>
      <c r="AO127" s="35"/>
      <c r="AP127" s="35">
        <f t="shared" si="613"/>
        <v>35039</v>
      </c>
      <c r="AQ127" s="35">
        <f t="shared" si="614"/>
        <v>105117</v>
      </c>
      <c r="AR127" s="35">
        <v>33290</v>
      </c>
      <c r="AS127" s="35">
        <v>750</v>
      </c>
      <c r="AT127" s="35">
        <v>999</v>
      </c>
      <c r="AU127" s="35"/>
      <c r="AV127" s="35"/>
      <c r="AW127" s="35"/>
      <c r="AX127" s="35"/>
      <c r="AY127" s="35"/>
      <c r="AZ127" s="35"/>
      <c r="BA127" s="35"/>
      <c r="BB127" s="35"/>
      <c r="BC127" s="35"/>
      <c r="BD127" s="35">
        <f t="shared" si="620"/>
        <v>35039</v>
      </c>
      <c r="BE127" s="35">
        <v>33290</v>
      </c>
      <c r="BF127" s="35">
        <v>750</v>
      </c>
      <c r="BG127" s="35">
        <v>999</v>
      </c>
      <c r="BH127" s="35"/>
      <c r="BI127" s="35"/>
      <c r="BJ127" s="35"/>
      <c r="BK127" s="35"/>
      <c r="BL127" s="35"/>
      <c r="BM127" s="35"/>
      <c r="BN127" s="35"/>
      <c r="BO127" s="35"/>
      <c r="BP127" s="35"/>
      <c r="BQ127" s="35">
        <f t="shared" si="615"/>
        <v>35039</v>
      </c>
      <c r="BR127" s="35">
        <v>33290</v>
      </c>
      <c r="BS127" s="35">
        <v>750</v>
      </c>
      <c r="BT127" s="35">
        <v>999</v>
      </c>
      <c r="BU127" s="35"/>
      <c r="BV127" s="35"/>
      <c r="BW127" s="35"/>
      <c r="BX127" s="35"/>
      <c r="BY127" s="35"/>
      <c r="BZ127" s="35"/>
      <c r="CA127" s="35"/>
      <c r="CB127" s="35"/>
      <c r="CC127" s="35"/>
      <c r="CD127" s="35">
        <f t="shared" si="616"/>
        <v>35039</v>
      </c>
      <c r="CE127" s="35">
        <f t="shared" si="621"/>
        <v>105117</v>
      </c>
      <c r="CF127" s="35">
        <f>34960+(1670*6)</f>
        <v>44980</v>
      </c>
      <c r="CG127" s="35">
        <v>750</v>
      </c>
      <c r="CH127" s="35">
        <f>1049+(50*6)</f>
        <v>1349</v>
      </c>
      <c r="CI127" s="35"/>
      <c r="CJ127" s="35"/>
      <c r="CK127" s="35"/>
      <c r="CL127" s="35"/>
      <c r="CM127" s="35"/>
      <c r="CN127" s="35"/>
      <c r="CO127" s="35"/>
      <c r="CP127" s="35"/>
      <c r="CQ127" s="35"/>
      <c r="CR127" s="35">
        <f t="shared" si="622"/>
        <v>47079</v>
      </c>
      <c r="CS127" s="35">
        <f>34960+3360*6</f>
        <v>55120</v>
      </c>
      <c r="CT127" s="35">
        <v>750</v>
      </c>
      <c r="CU127" s="35">
        <f>1049+101*6</f>
        <v>1655</v>
      </c>
      <c r="CV127" s="35"/>
      <c r="CW127" s="35"/>
      <c r="CX127" s="35"/>
      <c r="CY127" s="35"/>
      <c r="CZ127" s="35"/>
      <c r="DA127" s="35"/>
      <c r="DB127" s="35"/>
      <c r="DC127" s="35"/>
      <c r="DD127" s="35"/>
      <c r="DE127" s="35">
        <f t="shared" si="617"/>
        <v>57525</v>
      </c>
      <c r="DF127" s="35">
        <v>34960</v>
      </c>
      <c r="DG127" s="35">
        <v>750</v>
      </c>
      <c r="DH127" s="35">
        <v>1049</v>
      </c>
      <c r="DI127" s="35"/>
      <c r="DJ127" s="35"/>
      <c r="DK127" s="35"/>
      <c r="DL127" s="35"/>
      <c r="DM127" s="35"/>
      <c r="DN127" s="35"/>
      <c r="DO127" s="35"/>
      <c r="DP127" s="35"/>
      <c r="DQ127" s="35"/>
      <c r="DR127" s="35">
        <f t="shared" si="623"/>
        <v>36759</v>
      </c>
      <c r="DS127" s="35">
        <f t="shared" si="624"/>
        <v>141363</v>
      </c>
      <c r="DT127" s="35">
        <v>38320</v>
      </c>
      <c r="DU127" s="35">
        <v>750</v>
      </c>
      <c r="DV127" s="35">
        <v>1150</v>
      </c>
      <c r="DW127" s="35"/>
      <c r="DX127" s="35"/>
      <c r="DY127" s="35"/>
      <c r="DZ127" s="35"/>
      <c r="EA127" s="35"/>
      <c r="EB127" s="35"/>
      <c r="EC127" s="35"/>
      <c r="ED127" s="35"/>
      <c r="EE127" s="35"/>
      <c r="EF127" s="35">
        <f t="shared" si="625"/>
        <v>40220</v>
      </c>
      <c r="EG127" s="35">
        <v>38320</v>
      </c>
      <c r="EH127" s="35">
        <v>750</v>
      </c>
      <c r="EI127" s="35">
        <v>1150</v>
      </c>
      <c r="EJ127" s="35"/>
      <c r="EK127" s="35"/>
      <c r="EL127" s="35"/>
      <c r="EM127" s="35"/>
      <c r="EN127" s="35"/>
      <c r="EO127" s="35"/>
      <c r="EP127" s="35"/>
      <c r="EQ127" s="35"/>
      <c r="ER127" s="35"/>
      <c r="ES127" s="35">
        <f t="shared" si="618"/>
        <v>40220</v>
      </c>
      <c r="ET127" s="35">
        <v>38320</v>
      </c>
      <c r="EU127" s="35">
        <v>750</v>
      </c>
      <c r="EV127" s="35">
        <v>1150</v>
      </c>
      <c r="EW127" s="35"/>
      <c r="EX127" s="35"/>
      <c r="EY127" s="35"/>
      <c r="EZ127" s="35"/>
      <c r="FA127" s="35"/>
      <c r="FB127" s="35"/>
      <c r="FC127" s="35"/>
      <c r="FD127" s="35"/>
      <c r="FE127" s="35"/>
      <c r="FF127" s="35">
        <f t="shared" si="626"/>
        <v>40220</v>
      </c>
      <c r="FG127" s="35">
        <f t="shared" si="627"/>
        <v>120660</v>
      </c>
      <c r="FH127" s="35">
        <f t="shared" si="628"/>
        <v>472257</v>
      </c>
    </row>
    <row r="128" spans="1:164" x14ac:dyDescent="0.35">
      <c r="A128" s="34"/>
      <c r="B128" s="40"/>
      <c r="C128" s="41" t="s">
        <v>207</v>
      </c>
      <c r="D128" s="35">
        <v>28950</v>
      </c>
      <c r="E128" s="35">
        <v>750</v>
      </c>
      <c r="F128" s="35">
        <v>869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>
        <f t="shared" si="619"/>
        <v>30569</v>
      </c>
      <c r="Q128" s="35">
        <v>28950</v>
      </c>
      <c r="R128" s="35">
        <v>750</v>
      </c>
      <c r="S128" s="35">
        <v>869</v>
      </c>
      <c r="T128" s="35"/>
      <c r="U128" s="35"/>
      <c r="V128" s="35"/>
      <c r="W128" s="35"/>
      <c r="X128" s="35"/>
      <c r="Y128" s="35"/>
      <c r="Z128" s="35"/>
      <c r="AA128" s="35"/>
      <c r="AB128" s="35"/>
      <c r="AC128" s="35">
        <f t="shared" si="612"/>
        <v>30569</v>
      </c>
      <c r="AD128" s="35">
        <v>28950</v>
      </c>
      <c r="AE128" s="35">
        <v>750</v>
      </c>
      <c r="AF128" s="35">
        <v>869</v>
      </c>
      <c r="AG128" s="35"/>
      <c r="AH128" s="35"/>
      <c r="AI128" s="35"/>
      <c r="AJ128" s="35"/>
      <c r="AK128" s="35"/>
      <c r="AL128" s="35"/>
      <c r="AM128" s="35"/>
      <c r="AN128" s="35"/>
      <c r="AO128" s="35"/>
      <c r="AP128" s="35">
        <f t="shared" si="613"/>
        <v>30569</v>
      </c>
      <c r="AQ128" s="35">
        <f t="shared" si="614"/>
        <v>91707</v>
      </c>
      <c r="AR128" s="35">
        <v>28950</v>
      </c>
      <c r="AS128" s="35">
        <v>750</v>
      </c>
      <c r="AT128" s="35">
        <v>869</v>
      </c>
      <c r="AU128" s="35"/>
      <c r="AV128" s="35"/>
      <c r="AW128" s="35"/>
      <c r="AX128" s="35"/>
      <c r="AY128" s="35"/>
      <c r="AZ128" s="35"/>
      <c r="BA128" s="35"/>
      <c r="BB128" s="35"/>
      <c r="BC128" s="35"/>
      <c r="BD128" s="35">
        <f t="shared" si="620"/>
        <v>30569</v>
      </c>
      <c r="BE128" s="35">
        <v>28950</v>
      </c>
      <c r="BF128" s="35">
        <v>750</v>
      </c>
      <c r="BG128" s="35">
        <v>869</v>
      </c>
      <c r="BH128" s="35"/>
      <c r="BI128" s="35"/>
      <c r="BJ128" s="35"/>
      <c r="BK128" s="35"/>
      <c r="BL128" s="35"/>
      <c r="BM128" s="35"/>
      <c r="BN128" s="35"/>
      <c r="BO128" s="35"/>
      <c r="BP128" s="35"/>
      <c r="BQ128" s="35">
        <f t="shared" si="615"/>
        <v>30569</v>
      </c>
      <c r="BR128" s="35">
        <v>28950</v>
      </c>
      <c r="BS128" s="35">
        <v>750</v>
      </c>
      <c r="BT128" s="35">
        <v>869</v>
      </c>
      <c r="BU128" s="35"/>
      <c r="BV128" s="35"/>
      <c r="BW128" s="35"/>
      <c r="BX128" s="35"/>
      <c r="BY128" s="35"/>
      <c r="BZ128" s="35"/>
      <c r="CA128" s="35"/>
      <c r="CB128" s="35"/>
      <c r="CC128" s="35"/>
      <c r="CD128" s="35">
        <f t="shared" si="616"/>
        <v>30569</v>
      </c>
      <c r="CE128" s="35">
        <f t="shared" si="621"/>
        <v>91707</v>
      </c>
      <c r="CF128" s="35">
        <f>30400+(1450*6)</f>
        <v>39100</v>
      </c>
      <c r="CG128" s="35">
        <v>750</v>
      </c>
      <c r="CH128" s="35">
        <f>912+(44*6)</f>
        <v>1176</v>
      </c>
      <c r="CI128" s="35"/>
      <c r="CJ128" s="35"/>
      <c r="CK128" s="35"/>
      <c r="CL128" s="35"/>
      <c r="CM128" s="35"/>
      <c r="CN128" s="35"/>
      <c r="CO128" s="35"/>
      <c r="CP128" s="35"/>
      <c r="CQ128" s="35"/>
      <c r="CR128" s="35">
        <f t="shared" si="622"/>
        <v>41026</v>
      </c>
      <c r="CS128" s="35">
        <f>30400+2800*6</f>
        <v>47200</v>
      </c>
      <c r="CT128" s="35">
        <v>750</v>
      </c>
      <c r="CU128" s="35">
        <f>912+84*6</f>
        <v>1416</v>
      </c>
      <c r="CV128" s="35"/>
      <c r="CW128" s="35"/>
      <c r="CX128" s="35"/>
      <c r="CY128" s="35"/>
      <c r="CZ128" s="35"/>
      <c r="DA128" s="35"/>
      <c r="DB128" s="35"/>
      <c r="DC128" s="35"/>
      <c r="DD128" s="35"/>
      <c r="DE128" s="35">
        <f t="shared" si="617"/>
        <v>49366</v>
      </c>
      <c r="DF128" s="35">
        <v>30400</v>
      </c>
      <c r="DG128" s="35">
        <v>750</v>
      </c>
      <c r="DH128" s="35">
        <v>912</v>
      </c>
      <c r="DI128" s="35"/>
      <c r="DJ128" s="35"/>
      <c r="DK128" s="35"/>
      <c r="DL128" s="35"/>
      <c r="DM128" s="35"/>
      <c r="DN128" s="35"/>
      <c r="DO128" s="35"/>
      <c r="DP128" s="35"/>
      <c r="DQ128" s="35"/>
      <c r="DR128" s="35">
        <f t="shared" si="623"/>
        <v>32062</v>
      </c>
      <c r="DS128" s="35">
        <f t="shared" si="624"/>
        <v>122454</v>
      </c>
      <c r="DT128" s="35">
        <v>33200</v>
      </c>
      <c r="DU128" s="35">
        <v>750</v>
      </c>
      <c r="DV128" s="35">
        <v>996</v>
      </c>
      <c r="DW128" s="35"/>
      <c r="DX128" s="35"/>
      <c r="DY128" s="35"/>
      <c r="DZ128" s="35"/>
      <c r="EA128" s="35"/>
      <c r="EB128" s="35"/>
      <c r="EC128" s="35"/>
      <c r="ED128" s="35"/>
      <c r="EE128" s="35"/>
      <c r="EF128" s="35">
        <f t="shared" si="625"/>
        <v>34946</v>
      </c>
      <c r="EG128" s="35">
        <v>33200</v>
      </c>
      <c r="EH128" s="35">
        <v>750</v>
      </c>
      <c r="EI128" s="35">
        <v>996</v>
      </c>
      <c r="EJ128" s="35"/>
      <c r="EK128" s="35"/>
      <c r="EL128" s="35"/>
      <c r="EM128" s="35"/>
      <c r="EN128" s="35"/>
      <c r="EO128" s="35"/>
      <c r="EP128" s="35"/>
      <c r="EQ128" s="35"/>
      <c r="ER128" s="35"/>
      <c r="ES128" s="35">
        <f t="shared" si="618"/>
        <v>34946</v>
      </c>
      <c r="ET128" s="35">
        <v>33200</v>
      </c>
      <c r="EU128" s="35">
        <v>750</v>
      </c>
      <c r="EV128" s="35">
        <v>996</v>
      </c>
      <c r="EW128" s="35"/>
      <c r="EX128" s="35"/>
      <c r="EY128" s="35"/>
      <c r="EZ128" s="35"/>
      <c r="FA128" s="35"/>
      <c r="FB128" s="35"/>
      <c r="FC128" s="35"/>
      <c r="FD128" s="35"/>
      <c r="FE128" s="35"/>
      <c r="FF128" s="35">
        <f t="shared" si="626"/>
        <v>34946</v>
      </c>
      <c r="FG128" s="35">
        <f t="shared" si="627"/>
        <v>104838</v>
      </c>
      <c r="FH128" s="35">
        <f t="shared" si="628"/>
        <v>410706</v>
      </c>
    </row>
    <row r="129" spans="1:164" x14ac:dyDescent="0.35">
      <c r="A129" s="34"/>
      <c r="B129" s="40"/>
      <c r="C129" s="41" t="s">
        <v>208</v>
      </c>
      <c r="D129" s="35">
        <v>28950</v>
      </c>
      <c r="E129" s="35">
        <v>750</v>
      </c>
      <c r="F129" s="35">
        <v>869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>
        <f t="shared" si="619"/>
        <v>30569</v>
      </c>
      <c r="Q129" s="35">
        <v>28950</v>
      </c>
      <c r="R129" s="35">
        <v>750</v>
      </c>
      <c r="S129" s="35">
        <v>869</v>
      </c>
      <c r="T129" s="35"/>
      <c r="U129" s="35"/>
      <c r="V129" s="35"/>
      <c r="W129" s="35"/>
      <c r="X129" s="35"/>
      <c r="Y129" s="35"/>
      <c r="Z129" s="35"/>
      <c r="AA129" s="35"/>
      <c r="AB129" s="35"/>
      <c r="AC129" s="35">
        <f t="shared" si="612"/>
        <v>30569</v>
      </c>
      <c r="AD129" s="35">
        <v>28950</v>
      </c>
      <c r="AE129" s="35">
        <v>750</v>
      </c>
      <c r="AF129" s="35">
        <v>869</v>
      </c>
      <c r="AG129" s="35"/>
      <c r="AH129" s="35"/>
      <c r="AI129" s="35"/>
      <c r="AJ129" s="35"/>
      <c r="AK129" s="35"/>
      <c r="AL129" s="35"/>
      <c r="AM129" s="35"/>
      <c r="AN129" s="35"/>
      <c r="AO129" s="35"/>
      <c r="AP129" s="35">
        <f t="shared" si="613"/>
        <v>30569</v>
      </c>
      <c r="AQ129" s="35">
        <f t="shared" si="614"/>
        <v>91707</v>
      </c>
      <c r="AR129" s="35">
        <v>28950</v>
      </c>
      <c r="AS129" s="35">
        <v>750</v>
      </c>
      <c r="AT129" s="35">
        <v>869</v>
      </c>
      <c r="AU129" s="35"/>
      <c r="AV129" s="35"/>
      <c r="AW129" s="35"/>
      <c r="AX129" s="35"/>
      <c r="AY129" s="35"/>
      <c r="AZ129" s="35"/>
      <c r="BA129" s="35"/>
      <c r="BB129" s="35"/>
      <c r="BC129" s="35"/>
      <c r="BD129" s="35">
        <f t="shared" si="620"/>
        <v>30569</v>
      </c>
      <c r="BE129" s="35">
        <v>28950</v>
      </c>
      <c r="BF129" s="35">
        <v>750</v>
      </c>
      <c r="BG129" s="35">
        <v>869</v>
      </c>
      <c r="BH129" s="35"/>
      <c r="BI129" s="35"/>
      <c r="BJ129" s="35"/>
      <c r="BK129" s="35"/>
      <c r="BL129" s="35"/>
      <c r="BM129" s="35"/>
      <c r="BN129" s="35"/>
      <c r="BO129" s="35"/>
      <c r="BP129" s="35"/>
      <c r="BQ129" s="35">
        <f t="shared" si="615"/>
        <v>30569</v>
      </c>
      <c r="BR129" s="35">
        <v>28950</v>
      </c>
      <c r="BS129" s="35">
        <v>750</v>
      </c>
      <c r="BT129" s="35">
        <v>869</v>
      </c>
      <c r="BU129" s="35"/>
      <c r="BV129" s="35"/>
      <c r="BW129" s="35"/>
      <c r="BX129" s="35"/>
      <c r="BY129" s="35"/>
      <c r="BZ129" s="35"/>
      <c r="CA129" s="35"/>
      <c r="CB129" s="35"/>
      <c r="CC129" s="35"/>
      <c r="CD129" s="35">
        <f t="shared" si="616"/>
        <v>30569</v>
      </c>
      <c r="CE129" s="35">
        <f t="shared" si="621"/>
        <v>91707</v>
      </c>
      <c r="CF129" s="35">
        <f>30400+(1450*6)</f>
        <v>39100</v>
      </c>
      <c r="CG129" s="35">
        <v>750</v>
      </c>
      <c r="CH129" s="35">
        <f>912+(44*6)</f>
        <v>1176</v>
      </c>
      <c r="CI129" s="35"/>
      <c r="CJ129" s="35"/>
      <c r="CK129" s="35"/>
      <c r="CL129" s="35"/>
      <c r="CM129" s="35"/>
      <c r="CN129" s="35"/>
      <c r="CO129" s="35"/>
      <c r="CP129" s="35"/>
      <c r="CQ129" s="35"/>
      <c r="CR129" s="35">
        <f t="shared" si="622"/>
        <v>41026</v>
      </c>
      <c r="CS129" s="35">
        <f>30400+2800*6</f>
        <v>47200</v>
      </c>
      <c r="CT129" s="35">
        <v>750</v>
      </c>
      <c r="CU129" s="35">
        <f>912+84*6</f>
        <v>1416</v>
      </c>
      <c r="CV129" s="35"/>
      <c r="CW129" s="35"/>
      <c r="CX129" s="35"/>
      <c r="CY129" s="35"/>
      <c r="CZ129" s="35"/>
      <c r="DA129" s="35"/>
      <c r="DB129" s="35"/>
      <c r="DC129" s="35"/>
      <c r="DD129" s="35"/>
      <c r="DE129" s="35">
        <f t="shared" si="617"/>
        <v>49366</v>
      </c>
      <c r="DF129" s="35">
        <v>30400</v>
      </c>
      <c r="DG129" s="35">
        <v>750</v>
      </c>
      <c r="DH129" s="35">
        <v>912</v>
      </c>
      <c r="DI129" s="35"/>
      <c r="DJ129" s="35"/>
      <c r="DK129" s="35"/>
      <c r="DL129" s="35"/>
      <c r="DM129" s="35"/>
      <c r="DN129" s="35"/>
      <c r="DO129" s="35"/>
      <c r="DP129" s="35"/>
      <c r="DQ129" s="35"/>
      <c r="DR129" s="35">
        <f t="shared" si="623"/>
        <v>32062</v>
      </c>
      <c r="DS129" s="35">
        <f t="shared" si="624"/>
        <v>122454</v>
      </c>
      <c r="DT129" s="35">
        <v>33200</v>
      </c>
      <c r="DU129" s="35">
        <v>750</v>
      </c>
      <c r="DV129" s="35">
        <v>996</v>
      </c>
      <c r="DW129" s="35"/>
      <c r="DX129" s="35"/>
      <c r="DY129" s="35"/>
      <c r="DZ129" s="35"/>
      <c r="EA129" s="35"/>
      <c r="EB129" s="35"/>
      <c r="EC129" s="35"/>
      <c r="ED129" s="35"/>
      <c r="EE129" s="35"/>
      <c r="EF129" s="35">
        <f t="shared" si="625"/>
        <v>34946</v>
      </c>
      <c r="EG129" s="35">
        <v>33200</v>
      </c>
      <c r="EH129" s="35">
        <v>750</v>
      </c>
      <c r="EI129" s="35">
        <v>996</v>
      </c>
      <c r="EJ129" s="35"/>
      <c r="EK129" s="35"/>
      <c r="EL129" s="35"/>
      <c r="EM129" s="35"/>
      <c r="EN129" s="35"/>
      <c r="EO129" s="35"/>
      <c r="EP129" s="35"/>
      <c r="EQ129" s="35"/>
      <c r="ER129" s="35"/>
      <c r="ES129" s="35">
        <f t="shared" si="618"/>
        <v>34946</v>
      </c>
      <c r="ET129" s="35">
        <v>33200</v>
      </c>
      <c r="EU129" s="35">
        <v>750</v>
      </c>
      <c r="EV129" s="35">
        <v>996</v>
      </c>
      <c r="EW129" s="35"/>
      <c r="EX129" s="35"/>
      <c r="EY129" s="35"/>
      <c r="EZ129" s="35"/>
      <c r="FA129" s="35"/>
      <c r="FB129" s="35"/>
      <c r="FC129" s="35"/>
      <c r="FD129" s="35"/>
      <c r="FE129" s="35"/>
      <c r="FF129" s="35">
        <f t="shared" si="626"/>
        <v>34946</v>
      </c>
      <c r="FG129" s="35">
        <f t="shared" si="627"/>
        <v>104838</v>
      </c>
      <c r="FH129" s="35">
        <f t="shared" si="628"/>
        <v>410706</v>
      </c>
    </row>
    <row r="130" spans="1:164" x14ac:dyDescent="0.35">
      <c r="A130" s="34"/>
      <c r="B130" s="40"/>
      <c r="C130" s="41" t="s">
        <v>209</v>
      </c>
      <c r="D130" s="35">
        <v>28950</v>
      </c>
      <c r="E130" s="35">
        <v>750</v>
      </c>
      <c r="F130" s="35">
        <v>869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>
        <f t="shared" si="619"/>
        <v>30569</v>
      </c>
      <c r="Q130" s="35">
        <v>28950</v>
      </c>
      <c r="R130" s="35">
        <v>750</v>
      </c>
      <c r="S130" s="35">
        <v>869</v>
      </c>
      <c r="T130" s="35"/>
      <c r="U130" s="35"/>
      <c r="V130" s="35"/>
      <c r="W130" s="35"/>
      <c r="X130" s="35"/>
      <c r="Y130" s="35"/>
      <c r="Z130" s="35"/>
      <c r="AA130" s="35"/>
      <c r="AB130" s="35"/>
      <c r="AC130" s="35">
        <f t="shared" si="612"/>
        <v>30569</v>
      </c>
      <c r="AD130" s="35">
        <v>28950</v>
      </c>
      <c r="AE130" s="35">
        <v>750</v>
      </c>
      <c r="AF130" s="35">
        <v>869</v>
      </c>
      <c r="AG130" s="35"/>
      <c r="AH130" s="35"/>
      <c r="AI130" s="35"/>
      <c r="AJ130" s="35"/>
      <c r="AK130" s="35"/>
      <c r="AL130" s="35"/>
      <c r="AM130" s="35"/>
      <c r="AN130" s="35"/>
      <c r="AO130" s="35"/>
      <c r="AP130" s="35">
        <f t="shared" si="613"/>
        <v>30569</v>
      </c>
      <c r="AQ130" s="35">
        <f t="shared" si="614"/>
        <v>91707</v>
      </c>
      <c r="AR130" s="35">
        <v>28950</v>
      </c>
      <c r="AS130" s="35">
        <v>750</v>
      </c>
      <c r="AT130" s="35">
        <v>869</v>
      </c>
      <c r="AU130" s="35"/>
      <c r="AV130" s="35"/>
      <c r="AW130" s="35"/>
      <c r="AX130" s="35"/>
      <c r="AY130" s="35"/>
      <c r="AZ130" s="35"/>
      <c r="BA130" s="35"/>
      <c r="BB130" s="35"/>
      <c r="BC130" s="35"/>
      <c r="BD130" s="35">
        <f t="shared" si="620"/>
        <v>30569</v>
      </c>
      <c r="BE130" s="35">
        <v>28950</v>
      </c>
      <c r="BF130" s="35">
        <v>750</v>
      </c>
      <c r="BG130" s="35">
        <v>869</v>
      </c>
      <c r="BH130" s="35"/>
      <c r="BI130" s="35"/>
      <c r="BJ130" s="35"/>
      <c r="BK130" s="35"/>
      <c r="BL130" s="35"/>
      <c r="BM130" s="35"/>
      <c r="BN130" s="35"/>
      <c r="BO130" s="35"/>
      <c r="BP130" s="35"/>
      <c r="BQ130" s="35">
        <f t="shared" si="615"/>
        <v>30569</v>
      </c>
      <c r="BR130" s="35">
        <v>28950</v>
      </c>
      <c r="BS130" s="35">
        <v>750</v>
      </c>
      <c r="BT130" s="35">
        <v>869</v>
      </c>
      <c r="BU130" s="35"/>
      <c r="BV130" s="35"/>
      <c r="BW130" s="35"/>
      <c r="BX130" s="35"/>
      <c r="BY130" s="35"/>
      <c r="BZ130" s="35"/>
      <c r="CA130" s="35"/>
      <c r="CB130" s="35"/>
      <c r="CC130" s="35"/>
      <c r="CD130" s="35">
        <f t="shared" si="616"/>
        <v>30569</v>
      </c>
      <c r="CE130" s="35">
        <f t="shared" si="621"/>
        <v>91707</v>
      </c>
      <c r="CF130" s="35">
        <f>30110+(1160*6)</f>
        <v>37070</v>
      </c>
      <c r="CG130" s="35">
        <v>750</v>
      </c>
      <c r="CH130" s="35">
        <f>903+(35*6)</f>
        <v>1113</v>
      </c>
      <c r="CI130" s="35"/>
      <c r="CJ130" s="35"/>
      <c r="CK130" s="35"/>
      <c r="CL130" s="35"/>
      <c r="CM130" s="35"/>
      <c r="CN130" s="35"/>
      <c r="CO130" s="35"/>
      <c r="CP130" s="35"/>
      <c r="CQ130" s="35"/>
      <c r="CR130" s="35">
        <f t="shared" si="622"/>
        <v>38933</v>
      </c>
      <c r="CS130" s="35">
        <f>30110+2800*6</f>
        <v>46910</v>
      </c>
      <c r="CT130" s="35">
        <v>750</v>
      </c>
      <c r="CU130" s="35">
        <f>903+84*6</f>
        <v>1407</v>
      </c>
      <c r="CV130" s="35"/>
      <c r="CW130" s="35"/>
      <c r="CX130" s="35"/>
      <c r="CY130" s="35"/>
      <c r="CZ130" s="35"/>
      <c r="DA130" s="35"/>
      <c r="DB130" s="35"/>
      <c r="DC130" s="35"/>
      <c r="DD130" s="35"/>
      <c r="DE130" s="35">
        <f t="shared" si="617"/>
        <v>49067</v>
      </c>
      <c r="DF130" s="35">
        <v>30110</v>
      </c>
      <c r="DG130" s="35">
        <v>750</v>
      </c>
      <c r="DH130" s="35">
        <v>903</v>
      </c>
      <c r="DI130" s="35"/>
      <c r="DJ130" s="35"/>
      <c r="DK130" s="35"/>
      <c r="DL130" s="35"/>
      <c r="DM130" s="35"/>
      <c r="DN130" s="35"/>
      <c r="DO130" s="35"/>
      <c r="DP130" s="35"/>
      <c r="DQ130" s="35"/>
      <c r="DR130" s="35">
        <f t="shared" si="623"/>
        <v>31763</v>
      </c>
      <c r="DS130" s="35">
        <f t="shared" si="624"/>
        <v>119763</v>
      </c>
      <c r="DT130" s="35">
        <v>32910</v>
      </c>
      <c r="DU130" s="35">
        <v>750</v>
      </c>
      <c r="DV130" s="35">
        <v>987</v>
      </c>
      <c r="DW130" s="35"/>
      <c r="DX130" s="35"/>
      <c r="DY130" s="35"/>
      <c r="DZ130" s="35"/>
      <c r="EA130" s="35"/>
      <c r="EB130" s="35"/>
      <c r="EC130" s="35"/>
      <c r="ED130" s="35"/>
      <c r="EE130" s="35"/>
      <c r="EF130" s="35">
        <f t="shared" si="625"/>
        <v>34647</v>
      </c>
      <c r="EG130" s="35">
        <v>32910</v>
      </c>
      <c r="EH130" s="35">
        <v>750</v>
      </c>
      <c r="EI130" s="35">
        <v>987</v>
      </c>
      <c r="EJ130" s="35"/>
      <c r="EK130" s="35"/>
      <c r="EL130" s="35"/>
      <c r="EM130" s="35"/>
      <c r="EN130" s="35"/>
      <c r="EO130" s="35"/>
      <c r="EP130" s="35"/>
      <c r="EQ130" s="35"/>
      <c r="ER130" s="35"/>
      <c r="ES130" s="35">
        <f t="shared" si="618"/>
        <v>34647</v>
      </c>
      <c r="ET130" s="35">
        <v>32910</v>
      </c>
      <c r="EU130" s="35">
        <v>750</v>
      </c>
      <c r="EV130" s="35">
        <v>987</v>
      </c>
      <c r="EW130" s="35"/>
      <c r="EX130" s="35"/>
      <c r="EY130" s="35"/>
      <c r="EZ130" s="35"/>
      <c r="FA130" s="35"/>
      <c r="FB130" s="35"/>
      <c r="FC130" s="35"/>
      <c r="FD130" s="35"/>
      <c r="FE130" s="35"/>
      <c r="FF130" s="35">
        <f t="shared" si="626"/>
        <v>34647</v>
      </c>
      <c r="FG130" s="35">
        <f t="shared" si="627"/>
        <v>103941</v>
      </c>
      <c r="FH130" s="35">
        <f t="shared" si="628"/>
        <v>407118</v>
      </c>
    </row>
    <row r="131" spans="1:164" x14ac:dyDescent="0.35">
      <c r="A131" s="34"/>
      <c r="B131" s="40"/>
      <c r="C131" s="41" t="s">
        <v>210</v>
      </c>
      <c r="D131" s="35"/>
      <c r="E131" s="35"/>
      <c r="F131" s="35"/>
      <c r="G131" s="35"/>
      <c r="H131" s="35"/>
      <c r="I131" s="35"/>
      <c r="J131" s="35">
        <v>28940</v>
      </c>
      <c r="K131" s="35">
        <v>750</v>
      </c>
      <c r="L131" s="35">
        <v>868</v>
      </c>
      <c r="M131" s="35"/>
      <c r="N131" s="35"/>
      <c r="O131" s="35"/>
      <c r="P131" s="35">
        <f t="shared" si="619"/>
        <v>30558</v>
      </c>
      <c r="Q131" s="35"/>
      <c r="R131" s="35"/>
      <c r="S131" s="35"/>
      <c r="T131" s="35"/>
      <c r="U131" s="35"/>
      <c r="V131" s="35"/>
      <c r="W131" s="35">
        <v>28940</v>
      </c>
      <c r="X131" s="35">
        <v>750</v>
      </c>
      <c r="Y131" s="35">
        <v>868</v>
      </c>
      <c r="Z131" s="35"/>
      <c r="AA131" s="35"/>
      <c r="AB131" s="35"/>
      <c r="AC131" s="35">
        <f t="shared" si="612"/>
        <v>30558</v>
      </c>
      <c r="AD131" s="35"/>
      <c r="AE131" s="35"/>
      <c r="AF131" s="35"/>
      <c r="AG131" s="35"/>
      <c r="AH131" s="35"/>
      <c r="AI131" s="35"/>
      <c r="AJ131" s="35">
        <v>28940</v>
      </c>
      <c r="AK131" s="35">
        <v>750</v>
      </c>
      <c r="AL131" s="35">
        <v>868</v>
      </c>
      <c r="AM131" s="35"/>
      <c r="AN131" s="35"/>
      <c r="AO131" s="35"/>
      <c r="AP131" s="35">
        <f t="shared" si="613"/>
        <v>30558</v>
      </c>
      <c r="AQ131" s="35">
        <f t="shared" si="614"/>
        <v>91674</v>
      </c>
      <c r="AR131" s="35"/>
      <c r="AS131" s="35"/>
      <c r="AT131" s="35"/>
      <c r="AU131" s="35"/>
      <c r="AV131" s="35"/>
      <c r="AW131" s="35"/>
      <c r="AX131" s="35">
        <v>28940</v>
      </c>
      <c r="AY131" s="35">
        <v>750</v>
      </c>
      <c r="AZ131" s="35">
        <v>868</v>
      </c>
      <c r="BA131" s="35"/>
      <c r="BB131" s="35"/>
      <c r="BC131" s="35"/>
      <c r="BD131" s="35">
        <f t="shared" si="620"/>
        <v>30558</v>
      </c>
      <c r="BE131" s="35"/>
      <c r="BF131" s="35"/>
      <c r="BG131" s="35"/>
      <c r="BH131" s="35"/>
      <c r="BI131" s="35"/>
      <c r="BJ131" s="35"/>
      <c r="BK131" s="35">
        <v>28940</v>
      </c>
      <c r="BL131" s="35">
        <v>750</v>
      </c>
      <c r="BM131" s="35">
        <v>868</v>
      </c>
      <c r="BN131" s="35"/>
      <c r="BO131" s="35"/>
      <c r="BP131" s="35"/>
      <c r="BQ131" s="35">
        <f t="shared" si="615"/>
        <v>30558</v>
      </c>
      <c r="BR131" s="35"/>
      <c r="BS131" s="35"/>
      <c r="BT131" s="35"/>
      <c r="BU131" s="35"/>
      <c r="BV131" s="35"/>
      <c r="BW131" s="35"/>
      <c r="BX131" s="35">
        <v>28940</v>
      </c>
      <c r="BY131" s="35">
        <v>750</v>
      </c>
      <c r="BZ131" s="35">
        <v>868</v>
      </c>
      <c r="CA131" s="35"/>
      <c r="CB131" s="35"/>
      <c r="CC131" s="35"/>
      <c r="CD131" s="35">
        <f t="shared" si="616"/>
        <v>30558</v>
      </c>
      <c r="CE131" s="35">
        <f t="shared" si="621"/>
        <v>91674</v>
      </c>
      <c r="CF131" s="35"/>
      <c r="CG131" s="35"/>
      <c r="CH131" s="35"/>
      <c r="CI131" s="35"/>
      <c r="CJ131" s="35"/>
      <c r="CK131" s="35"/>
      <c r="CL131" s="35">
        <f>30390+(1450*6)</f>
        <v>39090</v>
      </c>
      <c r="CM131" s="35">
        <v>750</v>
      </c>
      <c r="CN131" s="35">
        <f>912+(44*6)</f>
        <v>1176</v>
      </c>
      <c r="CO131" s="35"/>
      <c r="CP131" s="35"/>
      <c r="CQ131" s="35"/>
      <c r="CR131" s="35">
        <f t="shared" si="622"/>
        <v>41016</v>
      </c>
      <c r="CS131" s="35"/>
      <c r="CT131" s="35"/>
      <c r="CU131" s="35"/>
      <c r="CV131" s="35"/>
      <c r="CW131" s="35"/>
      <c r="CX131" s="35"/>
      <c r="CY131" s="35">
        <f>30390+2800*6</f>
        <v>47190</v>
      </c>
      <c r="CZ131" s="35">
        <v>750</v>
      </c>
      <c r="DA131" s="35">
        <f>912+84*6</f>
        <v>1416</v>
      </c>
      <c r="DB131" s="35"/>
      <c r="DC131" s="35"/>
      <c r="DD131" s="35"/>
      <c r="DE131" s="35">
        <f t="shared" si="617"/>
        <v>49356</v>
      </c>
      <c r="DF131" s="35"/>
      <c r="DG131" s="35"/>
      <c r="DH131" s="35"/>
      <c r="DI131" s="35"/>
      <c r="DJ131" s="35"/>
      <c r="DK131" s="35"/>
      <c r="DL131" s="35">
        <v>30390</v>
      </c>
      <c r="DM131" s="35">
        <v>750</v>
      </c>
      <c r="DN131" s="35">
        <v>912</v>
      </c>
      <c r="DO131" s="35"/>
      <c r="DP131" s="35"/>
      <c r="DQ131" s="35"/>
      <c r="DR131" s="35">
        <f t="shared" si="623"/>
        <v>32052</v>
      </c>
      <c r="DS131" s="35">
        <f t="shared" si="624"/>
        <v>122424</v>
      </c>
      <c r="DT131" s="35"/>
      <c r="DU131" s="35"/>
      <c r="DV131" s="35"/>
      <c r="DW131" s="35"/>
      <c r="DX131" s="35"/>
      <c r="DY131" s="35"/>
      <c r="DZ131" s="35">
        <v>33190</v>
      </c>
      <c r="EA131" s="35">
        <v>750</v>
      </c>
      <c r="EB131" s="35">
        <v>996</v>
      </c>
      <c r="EC131" s="35"/>
      <c r="ED131" s="35"/>
      <c r="EE131" s="35"/>
      <c r="EF131" s="35">
        <f t="shared" si="625"/>
        <v>34936</v>
      </c>
      <c r="EG131" s="35"/>
      <c r="EH131" s="35"/>
      <c r="EI131" s="35"/>
      <c r="EJ131" s="35"/>
      <c r="EK131" s="35"/>
      <c r="EL131" s="35"/>
      <c r="EM131" s="35">
        <v>33190</v>
      </c>
      <c r="EN131" s="35">
        <v>750</v>
      </c>
      <c r="EO131" s="35">
        <v>996</v>
      </c>
      <c r="EP131" s="35"/>
      <c r="EQ131" s="35"/>
      <c r="ER131" s="35"/>
      <c r="ES131" s="35">
        <f t="shared" si="618"/>
        <v>34936</v>
      </c>
      <c r="ET131" s="35"/>
      <c r="EU131" s="35"/>
      <c r="EV131" s="35"/>
      <c r="EW131" s="35"/>
      <c r="EX131" s="35"/>
      <c r="EY131" s="35"/>
      <c r="EZ131" s="35">
        <v>33190</v>
      </c>
      <c r="FA131" s="35">
        <v>750</v>
      </c>
      <c r="FB131" s="35">
        <v>996</v>
      </c>
      <c r="FC131" s="35"/>
      <c r="FD131" s="35"/>
      <c r="FE131" s="35"/>
      <c r="FF131" s="35">
        <f t="shared" si="626"/>
        <v>34936</v>
      </c>
      <c r="FG131" s="35">
        <f t="shared" si="627"/>
        <v>104808</v>
      </c>
      <c r="FH131" s="35">
        <f t="shared" si="628"/>
        <v>410580</v>
      </c>
    </row>
    <row r="132" spans="1:164" x14ac:dyDescent="0.35">
      <c r="A132" s="34"/>
      <c r="B132" s="40"/>
      <c r="C132" s="41" t="s">
        <v>211</v>
      </c>
      <c r="D132" s="35"/>
      <c r="E132" s="35"/>
      <c r="F132" s="35"/>
      <c r="G132" s="35"/>
      <c r="H132" s="35"/>
      <c r="I132" s="35"/>
      <c r="J132" s="35">
        <v>28950</v>
      </c>
      <c r="K132" s="35">
        <v>750</v>
      </c>
      <c r="L132" s="35">
        <v>869</v>
      </c>
      <c r="M132" s="35"/>
      <c r="N132" s="35"/>
      <c r="O132" s="35"/>
      <c r="P132" s="35">
        <f t="shared" si="619"/>
        <v>30569</v>
      </c>
      <c r="Q132" s="35"/>
      <c r="R132" s="35"/>
      <c r="S132" s="35"/>
      <c r="T132" s="35"/>
      <c r="U132" s="35"/>
      <c r="V132" s="35"/>
      <c r="W132" s="35">
        <v>28950</v>
      </c>
      <c r="X132" s="35">
        <v>750</v>
      </c>
      <c r="Y132" s="35">
        <v>869</v>
      </c>
      <c r="Z132" s="35"/>
      <c r="AA132" s="35"/>
      <c r="AB132" s="35"/>
      <c r="AC132" s="35">
        <f t="shared" si="612"/>
        <v>30569</v>
      </c>
      <c r="AD132" s="35"/>
      <c r="AE132" s="35"/>
      <c r="AF132" s="35"/>
      <c r="AG132" s="35"/>
      <c r="AH132" s="35"/>
      <c r="AI132" s="35"/>
      <c r="AJ132" s="35">
        <v>28950</v>
      </c>
      <c r="AK132" s="35">
        <v>750</v>
      </c>
      <c r="AL132" s="35">
        <v>869</v>
      </c>
      <c r="AM132" s="35"/>
      <c r="AN132" s="35"/>
      <c r="AO132" s="35"/>
      <c r="AP132" s="35">
        <f t="shared" si="613"/>
        <v>30569</v>
      </c>
      <c r="AQ132" s="35">
        <f t="shared" si="614"/>
        <v>91707</v>
      </c>
      <c r="AR132" s="35"/>
      <c r="AS132" s="35"/>
      <c r="AT132" s="35"/>
      <c r="AU132" s="35"/>
      <c r="AV132" s="35"/>
      <c r="AW132" s="35"/>
      <c r="AX132" s="35">
        <v>28950</v>
      </c>
      <c r="AY132" s="35">
        <v>750</v>
      </c>
      <c r="AZ132" s="35">
        <v>869</v>
      </c>
      <c r="BA132" s="35"/>
      <c r="BB132" s="35"/>
      <c r="BC132" s="35"/>
      <c r="BD132" s="35">
        <f t="shared" si="620"/>
        <v>30569</v>
      </c>
      <c r="BE132" s="35"/>
      <c r="BF132" s="35"/>
      <c r="BG132" s="35"/>
      <c r="BH132" s="35"/>
      <c r="BI132" s="35"/>
      <c r="BJ132" s="35"/>
      <c r="BK132" s="35">
        <v>28950</v>
      </c>
      <c r="BL132" s="35">
        <v>750</v>
      </c>
      <c r="BM132" s="35">
        <v>869</v>
      </c>
      <c r="BN132" s="35"/>
      <c r="BO132" s="35"/>
      <c r="BP132" s="35"/>
      <c r="BQ132" s="35">
        <f t="shared" si="615"/>
        <v>30569</v>
      </c>
      <c r="BR132" s="35"/>
      <c r="BS132" s="35"/>
      <c r="BT132" s="35"/>
      <c r="BU132" s="35"/>
      <c r="BV132" s="35"/>
      <c r="BW132" s="35"/>
      <c r="BX132" s="35">
        <v>28950</v>
      </c>
      <c r="BY132" s="35">
        <v>750</v>
      </c>
      <c r="BZ132" s="35">
        <v>869</v>
      </c>
      <c r="CA132" s="35"/>
      <c r="CB132" s="35"/>
      <c r="CC132" s="35"/>
      <c r="CD132" s="35">
        <f t="shared" si="616"/>
        <v>30569</v>
      </c>
      <c r="CE132" s="35">
        <f t="shared" si="621"/>
        <v>91707</v>
      </c>
      <c r="CF132" s="35"/>
      <c r="CG132" s="35"/>
      <c r="CH132" s="35"/>
      <c r="CI132" s="35"/>
      <c r="CJ132" s="35"/>
      <c r="CK132" s="35"/>
      <c r="CL132" s="35">
        <f>30400+(1450*6)</f>
        <v>39100</v>
      </c>
      <c r="CM132" s="35">
        <v>750</v>
      </c>
      <c r="CN132" s="35">
        <f>912+(44*6)</f>
        <v>1176</v>
      </c>
      <c r="CO132" s="35"/>
      <c r="CP132" s="35"/>
      <c r="CQ132" s="35"/>
      <c r="CR132" s="35">
        <f t="shared" si="622"/>
        <v>41026</v>
      </c>
      <c r="CS132" s="35"/>
      <c r="CT132" s="35"/>
      <c r="CU132" s="35"/>
      <c r="CV132" s="35"/>
      <c r="CW132" s="35"/>
      <c r="CX132" s="35"/>
      <c r="CY132" s="35">
        <f>30400+2800*6</f>
        <v>47200</v>
      </c>
      <c r="CZ132" s="35">
        <v>750</v>
      </c>
      <c r="DA132" s="35">
        <f>912+84*6</f>
        <v>1416</v>
      </c>
      <c r="DB132" s="35"/>
      <c r="DC132" s="35"/>
      <c r="DD132" s="35"/>
      <c r="DE132" s="35">
        <f t="shared" si="617"/>
        <v>49366</v>
      </c>
      <c r="DF132" s="35"/>
      <c r="DG132" s="35"/>
      <c r="DH132" s="35"/>
      <c r="DI132" s="35"/>
      <c r="DJ132" s="35"/>
      <c r="DK132" s="35"/>
      <c r="DL132" s="35">
        <v>30400</v>
      </c>
      <c r="DM132" s="35">
        <v>750</v>
      </c>
      <c r="DN132" s="35">
        <v>912</v>
      </c>
      <c r="DO132" s="35"/>
      <c r="DP132" s="35"/>
      <c r="DQ132" s="35"/>
      <c r="DR132" s="35">
        <f t="shared" si="623"/>
        <v>32062</v>
      </c>
      <c r="DS132" s="35">
        <f t="shared" si="624"/>
        <v>122454</v>
      </c>
      <c r="DT132" s="35"/>
      <c r="DU132" s="35"/>
      <c r="DV132" s="35"/>
      <c r="DW132" s="35"/>
      <c r="DX132" s="35"/>
      <c r="DY132" s="35"/>
      <c r="DZ132" s="35">
        <v>33200</v>
      </c>
      <c r="EA132" s="35">
        <v>750</v>
      </c>
      <c r="EB132" s="35">
        <v>996</v>
      </c>
      <c r="EC132" s="35"/>
      <c r="ED132" s="35"/>
      <c r="EE132" s="35"/>
      <c r="EF132" s="35">
        <f t="shared" si="625"/>
        <v>34946</v>
      </c>
      <c r="EG132" s="35"/>
      <c r="EH132" s="35"/>
      <c r="EI132" s="35"/>
      <c r="EJ132" s="35"/>
      <c r="EK132" s="35"/>
      <c r="EL132" s="35"/>
      <c r="EM132" s="35">
        <v>33200</v>
      </c>
      <c r="EN132" s="35">
        <v>750</v>
      </c>
      <c r="EO132" s="35">
        <v>996</v>
      </c>
      <c r="EP132" s="35"/>
      <c r="EQ132" s="35"/>
      <c r="ER132" s="35"/>
      <c r="ES132" s="35">
        <f t="shared" si="618"/>
        <v>34946</v>
      </c>
      <c r="ET132" s="35"/>
      <c r="EU132" s="35"/>
      <c r="EV132" s="35"/>
      <c r="EW132" s="35"/>
      <c r="EX132" s="35"/>
      <c r="EY132" s="35"/>
      <c r="EZ132" s="35">
        <v>33200</v>
      </c>
      <c r="FA132" s="35">
        <v>750</v>
      </c>
      <c r="FB132" s="35">
        <v>996</v>
      </c>
      <c r="FC132" s="35"/>
      <c r="FD132" s="35"/>
      <c r="FE132" s="35"/>
      <c r="FF132" s="35">
        <f t="shared" si="626"/>
        <v>34946</v>
      </c>
      <c r="FG132" s="35">
        <f t="shared" si="627"/>
        <v>104838</v>
      </c>
      <c r="FH132" s="35">
        <f t="shared" si="628"/>
        <v>410706</v>
      </c>
    </row>
    <row r="133" spans="1:164" x14ac:dyDescent="0.35">
      <c r="A133" s="34"/>
      <c r="B133" s="40"/>
      <c r="C133" s="41" t="s">
        <v>212</v>
      </c>
      <c r="D133" s="35"/>
      <c r="E133" s="35"/>
      <c r="F133" s="35"/>
      <c r="G133" s="35"/>
      <c r="H133" s="35"/>
      <c r="I133" s="35"/>
      <c r="J133" s="35">
        <v>28950</v>
      </c>
      <c r="K133" s="35">
        <v>750</v>
      </c>
      <c r="L133" s="35">
        <v>869</v>
      </c>
      <c r="M133" s="35"/>
      <c r="N133" s="35"/>
      <c r="O133" s="35"/>
      <c r="P133" s="35">
        <f t="shared" si="619"/>
        <v>30569</v>
      </c>
      <c r="Q133" s="35"/>
      <c r="R133" s="35"/>
      <c r="S133" s="35"/>
      <c r="T133" s="35"/>
      <c r="U133" s="35"/>
      <c r="V133" s="35"/>
      <c r="W133" s="35">
        <v>28950</v>
      </c>
      <c r="X133" s="35">
        <v>750</v>
      </c>
      <c r="Y133" s="35">
        <v>869</v>
      </c>
      <c r="Z133" s="35"/>
      <c r="AA133" s="35"/>
      <c r="AB133" s="35"/>
      <c r="AC133" s="35">
        <f t="shared" si="612"/>
        <v>30569</v>
      </c>
      <c r="AD133" s="35"/>
      <c r="AE133" s="35"/>
      <c r="AF133" s="35"/>
      <c r="AG133" s="35"/>
      <c r="AH133" s="35"/>
      <c r="AI133" s="35"/>
      <c r="AJ133" s="35">
        <v>28950</v>
      </c>
      <c r="AK133" s="35">
        <v>750</v>
      </c>
      <c r="AL133" s="35">
        <v>869</v>
      </c>
      <c r="AM133" s="35"/>
      <c r="AN133" s="35"/>
      <c r="AO133" s="35"/>
      <c r="AP133" s="35">
        <f t="shared" si="613"/>
        <v>30569</v>
      </c>
      <c r="AQ133" s="35">
        <f t="shared" si="614"/>
        <v>91707</v>
      </c>
      <c r="AR133" s="35"/>
      <c r="AS133" s="35"/>
      <c r="AT133" s="35"/>
      <c r="AU133" s="35"/>
      <c r="AV133" s="35"/>
      <c r="AW133" s="35"/>
      <c r="AX133" s="35">
        <v>28950</v>
      </c>
      <c r="AY133" s="35">
        <v>750</v>
      </c>
      <c r="AZ133" s="35">
        <v>869</v>
      </c>
      <c r="BA133" s="35"/>
      <c r="BB133" s="35"/>
      <c r="BC133" s="35"/>
      <c r="BD133" s="35">
        <f t="shared" si="620"/>
        <v>30569</v>
      </c>
      <c r="BE133" s="35"/>
      <c r="BF133" s="35"/>
      <c r="BG133" s="35"/>
      <c r="BH133" s="35"/>
      <c r="BI133" s="35"/>
      <c r="BJ133" s="35"/>
      <c r="BK133" s="35">
        <v>28950</v>
      </c>
      <c r="BL133" s="35">
        <v>750</v>
      </c>
      <c r="BM133" s="35">
        <v>869</v>
      </c>
      <c r="BN133" s="35"/>
      <c r="BO133" s="35"/>
      <c r="BP133" s="35"/>
      <c r="BQ133" s="35">
        <f t="shared" si="615"/>
        <v>30569</v>
      </c>
      <c r="BR133" s="35"/>
      <c r="BS133" s="35"/>
      <c r="BT133" s="35"/>
      <c r="BU133" s="35"/>
      <c r="BV133" s="35"/>
      <c r="BW133" s="35"/>
      <c r="BX133" s="35">
        <v>28950</v>
      </c>
      <c r="BY133" s="35">
        <v>750</v>
      </c>
      <c r="BZ133" s="35">
        <v>869</v>
      </c>
      <c r="CA133" s="35"/>
      <c r="CB133" s="35"/>
      <c r="CC133" s="35"/>
      <c r="CD133" s="35">
        <f t="shared" si="616"/>
        <v>30569</v>
      </c>
      <c r="CE133" s="35">
        <f t="shared" si="621"/>
        <v>91707</v>
      </c>
      <c r="CF133" s="35"/>
      <c r="CG133" s="35"/>
      <c r="CH133" s="35"/>
      <c r="CI133" s="35"/>
      <c r="CJ133" s="35"/>
      <c r="CK133" s="35"/>
      <c r="CL133" s="35">
        <f>30390+(1440*6)</f>
        <v>39030</v>
      </c>
      <c r="CM133" s="35">
        <v>750</v>
      </c>
      <c r="CN133" s="35">
        <f>912+(43*6)</f>
        <v>1170</v>
      </c>
      <c r="CO133" s="35"/>
      <c r="CP133" s="35"/>
      <c r="CQ133" s="35"/>
      <c r="CR133" s="35">
        <f t="shared" si="622"/>
        <v>40950</v>
      </c>
      <c r="CS133" s="35"/>
      <c r="CT133" s="35"/>
      <c r="CU133" s="35"/>
      <c r="CV133" s="35"/>
      <c r="CW133" s="35"/>
      <c r="CX133" s="35"/>
      <c r="CY133" s="35">
        <f>30390+2800*6</f>
        <v>47190</v>
      </c>
      <c r="CZ133" s="35">
        <v>750</v>
      </c>
      <c r="DA133" s="35">
        <f>912+84*6</f>
        <v>1416</v>
      </c>
      <c r="DB133" s="35"/>
      <c r="DC133" s="35"/>
      <c r="DD133" s="35"/>
      <c r="DE133" s="35">
        <f t="shared" si="617"/>
        <v>49356</v>
      </c>
      <c r="DF133" s="35"/>
      <c r="DG133" s="35"/>
      <c r="DH133" s="35"/>
      <c r="DI133" s="35"/>
      <c r="DJ133" s="35"/>
      <c r="DK133" s="35"/>
      <c r="DL133" s="35">
        <v>30390</v>
      </c>
      <c r="DM133" s="35">
        <v>750</v>
      </c>
      <c r="DN133" s="35">
        <v>912</v>
      </c>
      <c r="DO133" s="35"/>
      <c r="DP133" s="35"/>
      <c r="DQ133" s="35"/>
      <c r="DR133" s="35">
        <f t="shared" si="623"/>
        <v>32052</v>
      </c>
      <c r="DS133" s="35">
        <f t="shared" si="624"/>
        <v>122358</v>
      </c>
      <c r="DT133" s="35"/>
      <c r="DU133" s="35"/>
      <c r="DV133" s="35"/>
      <c r="DW133" s="35"/>
      <c r="DX133" s="35"/>
      <c r="DY133" s="35"/>
      <c r="DZ133" s="35">
        <v>33190</v>
      </c>
      <c r="EA133" s="35">
        <v>750</v>
      </c>
      <c r="EB133" s="35">
        <v>996</v>
      </c>
      <c r="EC133" s="35"/>
      <c r="ED133" s="35"/>
      <c r="EE133" s="35"/>
      <c r="EF133" s="35">
        <f t="shared" si="625"/>
        <v>34936</v>
      </c>
      <c r="EG133" s="35"/>
      <c r="EH133" s="35"/>
      <c r="EI133" s="35"/>
      <c r="EJ133" s="35"/>
      <c r="EK133" s="35"/>
      <c r="EL133" s="35"/>
      <c r="EM133" s="35">
        <v>33190</v>
      </c>
      <c r="EN133" s="35">
        <v>750</v>
      </c>
      <c r="EO133" s="35">
        <v>996</v>
      </c>
      <c r="EP133" s="35"/>
      <c r="EQ133" s="35"/>
      <c r="ER133" s="35"/>
      <c r="ES133" s="35">
        <f t="shared" si="618"/>
        <v>34936</v>
      </c>
      <c r="ET133" s="35"/>
      <c r="EU133" s="35"/>
      <c r="EV133" s="35"/>
      <c r="EW133" s="35"/>
      <c r="EX133" s="35"/>
      <c r="EY133" s="35"/>
      <c r="EZ133" s="35">
        <v>33190</v>
      </c>
      <c r="FA133" s="35">
        <v>750</v>
      </c>
      <c r="FB133" s="35">
        <v>996</v>
      </c>
      <c r="FC133" s="35"/>
      <c r="FD133" s="35"/>
      <c r="FE133" s="35"/>
      <c r="FF133" s="35">
        <f t="shared" si="626"/>
        <v>34936</v>
      </c>
      <c r="FG133" s="35">
        <f t="shared" si="627"/>
        <v>104808</v>
      </c>
      <c r="FH133" s="35">
        <f t="shared" si="628"/>
        <v>410580</v>
      </c>
    </row>
    <row r="134" spans="1:164" x14ac:dyDescent="0.35">
      <c r="A134" s="34"/>
      <c r="B134" s="40"/>
      <c r="C134" s="41" t="s">
        <v>213</v>
      </c>
      <c r="D134" s="35">
        <v>28890</v>
      </c>
      <c r="E134" s="35">
        <v>750</v>
      </c>
      <c r="F134" s="35">
        <v>867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>
        <f t="shared" si="619"/>
        <v>30507</v>
      </c>
      <c r="Q134" s="35">
        <v>28890</v>
      </c>
      <c r="R134" s="35">
        <v>750</v>
      </c>
      <c r="S134" s="35">
        <v>867</v>
      </c>
      <c r="T134" s="35"/>
      <c r="U134" s="35"/>
      <c r="V134" s="35"/>
      <c r="W134" s="35"/>
      <c r="X134" s="35"/>
      <c r="Y134" s="35"/>
      <c r="Z134" s="35"/>
      <c r="AA134" s="35"/>
      <c r="AB134" s="35"/>
      <c r="AC134" s="35">
        <f t="shared" si="612"/>
        <v>30507</v>
      </c>
      <c r="AD134" s="35">
        <v>28890</v>
      </c>
      <c r="AE134" s="35">
        <v>750</v>
      </c>
      <c r="AF134" s="35">
        <v>867</v>
      </c>
      <c r="AG134" s="35"/>
      <c r="AH134" s="35"/>
      <c r="AI134" s="35"/>
      <c r="AJ134" s="35"/>
      <c r="AK134" s="35"/>
      <c r="AL134" s="35"/>
      <c r="AM134" s="35"/>
      <c r="AN134" s="35"/>
      <c r="AO134" s="35"/>
      <c r="AP134" s="35">
        <f t="shared" si="613"/>
        <v>30507</v>
      </c>
      <c r="AQ134" s="35">
        <f t="shared" si="614"/>
        <v>91521</v>
      </c>
      <c r="AR134" s="35">
        <v>28890</v>
      </c>
      <c r="AS134" s="35">
        <v>750</v>
      </c>
      <c r="AT134" s="35">
        <v>867</v>
      </c>
      <c r="AU134" s="35"/>
      <c r="AV134" s="35"/>
      <c r="AW134" s="35"/>
      <c r="AX134" s="35"/>
      <c r="AY134" s="35"/>
      <c r="AZ134" s="35"/>
      <c r="BA134" s="35"/>
      <c r="BB134" s="35"/>
      <c r="BC134" s="35"/>
      <c r="BD134" s="35">
        <f t="shared" si="620"/>
        <v>30507</v>
      </c>
      <c r="BE134" s="35">
        <v>28890</v>
      </c>
      <c r="BF134" s="35">
        <v>750</v>
      </c>
      <c r="BG134" s="35">
        <v>867</v>
      </c>
      <c r="BH134" s="35"/>
      <c r="BI134" s="35"/>
      <c r="BJ134" s="35"/>
      <c r="BK134" s="35"/>
      <c r="BL134" s="35"/>
      <c r="BM134" s="35"/>
      <c r="BN134" s="35"/>
      <c r="BO134" s="35"/>
      <c r="BP134" s="35"/>
      <c r="BQ134" s="35">
        <f t="shared" si="615"/>
        <v>30507</v>
      </c>
      <c r="BR134" s="35">
        <v>28890</v>
      </c>
      <c r="BS134" s="35">
        <v>750</v>
      </c>
      <c r="BT134" s="35">
        <v>867</v>
      </c>
      <c r="BU134" s="35"/>
      <c r="BV134" s="35"/>
      <c r="BW134" s="35"/>
      <c r="BX134" s="35"/>
      <c r="BY134" s="35"/>
      <c r="BZ134" s="35"/>
      <c r="CA134" s="35"/>
      <c r="CB134" s="35"/>
      <c r="CC134" s="35"/>
      <c r="CD134" s="35">
        <f t="shared" si="616"/>
        <v>30507</v>
      </c>
      <c r="CE134" s="35">
        <f t="shared" si="621"/>
        <v>91521</v>
      </c>
      <c r="CF134" s="35">
        <f>30340+(1450*6)</f>
        <v>39040</v>
      </c>
      <c r="CG134" s="35">
        <v>750</v>
      </c>
      <c r="CH134" s="35">
        <f>910+(44*6)</f>
        <v>1174</v>
      </c>
      <c r="CI134" s="35"/>
      <c r="CJ134" s="35"/>
      <c r="CK134" s="35"/>
      <c r="CL134" s="35"/>
      <c r="CM134" s="35"/>
      <c r="CN134" s="35"/>
      <c r="CO134" s="35"/>
      <c r="CP134" s="35"/>
      <c r="CQ134" s="35"/>
      <c r="CR134" s="35">
        <f t="shared" si="622"/>
        <v>40964</v>
      </c>
      <c r="CS134" s="35">
        <f>30340+2800*6</f>
        <v>47140</v>
      </c>
      <c r="CT134" s="35">
        <v>750</v>
      </c>
      <c r="CU134" s="35">
        <f>910+84*6</f>
        <v>1414</v>
      </c>
      <c r="CV134" s="35"/>
      <c r="CW134" s="35"/>
      <c r="CX134" s="35"/>
      <c r="CY134" s="35"/>
      <c r="CZ134" s="35"/>
      <c r="DA134" s="35"/>
      <c r="DB134" s="35"/>
      <c r="DC134" s="35"/>
      <c r="DD134" s="35"/>
      <c r="DE134" s="35">
        <f t="shared" si="617"/>
        <v>49304</v>
      </c>
      <c r="DF134" s="35">
        <v>30340</v>
      </c>
      <c r="DG134" s="35">
        <v>750</v>
      </c>
      <c r="DH134" s="35">
        <v>910</v>
      </c>
      <c r="DI134" s="35"/>
      <c r="DJ134" s="35"/>
      <c r="DK134" s="35"/>
      <c r="DL134" s="35"/>
      <c r="DM134" s="35"/>
      <c r="DN134" s="35"/>
      <c r="DO134" s="35"/>
      <c r="DP134" s="35"/>
      <c r="DQ134" s="35"/>
      <c r="DR134" s="35">
        <f t="shared" si="623"/>
        <v>32000</v>
      </c>
      <c r="DS134" s="35">
        <f t="shared" si="624"/>
        <v>122268</v>
      </c>
      <c r="DT134" s="35">
        <v>33140</v>
      </c>
      <c r="DU134" s="35">
        <v>750</v>
      </c>
      <c r="DV134" s="35">
        <v>994</v>
      </c>
      <c r="DW134" s="35"/>
      <c r="DX134" s="35"/>
      <c r="DY134" s="35"/>
      <c r="DZ134" s="35"/>
      <c r="EA134" s="35"/>
      <c r="EB134" s="35"/>
      <c r="EC134" s="35"/>
      <c r="ED134" s="35"/>
      <c r="EE134" s="35"/>
      <c r="EF134" s="35">
        <f t="shared" si="625"/>
        <v>34884</v>
      </c>
      <c r="EG134" s="35">
        <v>33140</v>
      </c>
      <c r="EH134" s="35">
        <v>750</v>
      </c>
      <c r="EI134" s="35">
        <v>994</v>
      </c>
      <c r="EJ134" s="35"/>
      <c r="EK134" s="35"/>
      <c r="EL134" s="35"/>
      <c r="EM134" s="35"/>
      <c r="EN134" s="35"/>
      <c r="EO134" s="35"/>
      <c r="EP134" s="35"/>
      <c r="EQ134" s="35"/>
      <c r="ER134" s="35"/>
      <c r="ES134" s="35">
        <f t="shared" si="618"/>
        <v>34884</v>
      </c>
      <c r="ET134" s="35">
        <v>33140</v>
      </c>
      <c r="EU134" s="35">
        <v>750</v>
      </c>
      <c r="EV134" s="35">
        <v>994</v>
      </c>
      <c r="EW134" s="35"/>
      <c r="EX134" s="35"/>
      <c r="EY134" s="35"/>
      <c r="EZ134" s="35"/>
      <c r="FA134" s="35"/>
      <c r="FB134" s="35"/>
      <c r="FC134" s="35"/>
      <c r="FD134" s="35"/>
      <c r="FE134" s="35"/>
      <c r="FF134" s="35">
        <f t="shared" si="626"/>
        <v>34884</v>
      </c>
      <c r="FG134" s="35">
        <f t="shared" si="627"/>
        <v>104652</v>
      </c>
      <c r="FH134" s="35">
        <f t="shared" si="628"/>
        <v>409962</v>
      </c>
    </row>
    <row r="135" spans="1:164" x14ac:dyDescent="0.35">
      <c r="A135" s="34"/>
      <c r="B135" s="40"/>
      <c r="C135" s="41" t="s">
        <v>214</v>
      </c>
      <c r="D135" s="35"/>
      <c r="E135" s="35"/>
      <c r="F135" s="35"/>
      <c r="G135" s="35">
        <v>22170</v>
      </c>
      <c r="H135" s="35">
        <v>750</v>
      </c>
      <c r="I135" s="35">
        <v>665</v>
      </c>
      <c r="J135" s="35"/>
      <c r="K135" s="35"/>
      <c r="L135" s="35"/>
      <c r="M135" s="35"/>
      <c r="N135" s="35"/>
      <c r="O135" s="35"/>
      <c r="P135" s="35">
        <f t="shared" si="619"/>
        <v>23585</v>
      </c>
      <c r="Q135" s="35"/>
      <c r="R135" s="35"/>
      <c r="S135" s="35"/>
      <c r="T135" s="35">
        <v>22170</v>
      </c>
      <c r="U135" s="35">
        <v>750</v>
      </c>
      <c r="V135" s="35">
        <v>665</v>
      </c>
      <c r="W135" s="35"/>
      <c r="X135" s="35"/>
      <c r="Y135" s="35"/>
      <c r="Z135" s="35"/>
      <c r="AA135" s="35"/>
      <c r="AB135" s="35"/>
      <c r="AC135" s="35">
        <f t="shared" si="612"/>
        <v>23585</v>
      </c>
      <c r="AD135" s="35"/>
      <c r="AE135" s="35"/>
      <c r="AF135" s="35"/>
      <c r="AG135" s="35">
        <v>22170</v>
      </c>
      <c r="AH135" s="35">
        <v>750</v>
      </c>
      <c r="AI135" s="35">
        <v>665</v>
      </c>
      <c r="AJ135" s="35"/>
      <c r="AK135" s="35"/>
      <c r="AL135" s="35"/>
      <c r="AM135" s="35"/>
      <c r="AN135" s="35"/>
      <c r="AO135" s="35"/>
      <c r="AP135" s="35">
        <f t="shared" si="613"/>
        <v>23585</v>
      </c>
      <c r="AQ135" s="35">
        <f t="shared" si="614"/>
        <v>70755</v>
      </c>
      <c r="AR135" s="35"/>
      <c r="AS135" s="35"/>
      <c r="AT135" s="35"/>
      <c r="AU135" s="35">
        <v>22170</v>
      </c>
      <c r="AV135" s="35">
        <v>750</v>
      </c>
      <c r="AW135" s="35">
        <v>665</v>
      </c>
      <c r="AX135" s="35"/>
      <c r="AY135" s="35"/>
      <c r="AZ135" s="35"/>
      <c r="BA135" s="35"/>
      <c r="BB135" s="35"/>
      <c r="BC135" s="35"/>
      <c r="BD135" s="35">
        <f t="shared" si="620"/>
        <v>23585</v>
      </c>
      <c r="BE135" s="35"/>
      <c r="BF135" s="35"/>
      <c r="BG135" s="35"/>
      <c r="BH135" s="35">
        <v>22170</v>
      </c>
      <c r="BI135" s="35">
        <v>750</v>
      </c>
      <c r="BJ135" s="35">
        <v>665</v>
      </c>
      <c r="BK135" s="35"/>
      <c r="BL135" s="35"/>
      <c r="BM135" s="35"/>
      <c r="BN135" s="35"/>
      <c r="BO135" s="35"/>
      <c r="BP135" s="35"/>
      <c r="BQ135" s="35">
        <f t="shared" si="615"/>
        <v>23585</v>
      </c>
      <c r="BR135" s="35"/>
      <c r="BS135" s="35"/>
      <c r="BT135" s="35"/>
      <c r="BU135" s="35">
        <v>22170</v>
      </c>
      <c r="BV135" s="35">
        <v>750</v>
      </c>
      <c r="BW135" s="35">
        <v>665</v>
      </c>
      <c r="BX135" s="35"/>
      <c r="BY135" s="35"/>
      <c r="BZ135" s="35"/>
      <c r="CA135" s="35"/>
      <c r="CB135" s="35"/>
      <c r="CC135" s="35"/>
      <c r="CD135" s="35">
        <f t="shared" si="616"/>
        <v>23585</v>
      </c>
      <c r="CE135" s="35">
        <f t="shared" si="621"/>
        <v>70755</v>
      </c>
      <c r="CF135" s="35"/>
      <c r="CG135" s="35"/>
      <c r="CH135" s="35"/>
      <c r="CI135" s="35">
        <f>23280+(1110*6)</f>
        <v>29940</v>
      </c>
      <c r="CJ135" s="35">
        <v>750</v>
      </c>
      <c r="CK135" s="35">
        <f>698+(33*6)</f>
        <v>896</v>
      </c>
      <c r="CL135" s="35"/>
      <c r="CM135" s="35"/>
      <c r="CN135" s="35"/>
      <c r="CO135" s="35"/>
      <c r="CP135" s="35"/>
      <c r="CQ135" s="35"/>
      <c r="CR135" s="35">
        <f t="shared" si="622"/>
        <v>31586</v>
      </c>
      <c r="CS135" s="35"/>
      <c r="CT135" s="35"/>
      <c r="CU135" s="35"/>
      <c r="CV135" s="35">
        <f>23280+1200*6</f>
        <v>30480</v>
      </c>
      <c r="CW135" s="35">
        <v>750</v>
      </c>
      <c r="CX135" s="35">
        <f>698+36*6</f>
        <v>914</v>
      </c>
      <c r="CY135" s="35"/>
      <c r="CZ135" s="35"/>
      <c r="DA135" s="35"/>
      <c r="DB135" s="35"/>
      <c r="DC135" s="35"/>
      <c r="DD135" s="35"/>
      <c r="DE135" s="35">
        <f t="shared" si="617"/>
        <v>32144</v>
      </c>
      <c r="DF135" s="35"/>
      <c r="DG135" s="35"/>
      <c r="DH135" s="35"/>
      <c r="DI135" s="35">
        <v>23280</v>
      </c>
      <c r="DJ135" s="35">
        <v>750</v>
      </c>
      <c r="DK135" s="35">
        <v>698</v>
      </c>
      <c r="DL135" s="35"/>
      <c r="DM135" s="35"/>
      <c r="DN135" s="35"/>
      <c r="DO135" s="35"/>
      <c r="DP135" s="35"/>
      <c r="DQ135" s="35"/>
      <c r="DR135" s="35">
        <f t="shared" si="623"/>
        <v>24728</v>
      </c>
      <c r="DS135" s="35">
        <f t="shared" si="624"/>
        <v>88458</v>
      </c>
      <c r="DT135" s="35"/>
      <c r="DU135" s="35"/>
      <c r="DV135" s="35"/>
      <c r="DW135" s="35">
        <v>24480</v>
      </c>
      <c r="DX135" s="35">
        <v>750</v>
      </c>
      <c r="DY135" s="35">
        <v>734</v>
      </c>
      <c r="DZ135" s="35"/>
      <c r="EA135" s="35"/>
      <c r="EB135" s="35"/>
      <c r="EC135" s="35"/>
      <c r="ED135" s="35"/>
      <c r="EE135" s="35"/>
      <c r="EF135" s="35">
        <f t="shared" si="625"/>
        <v>25964</v>
      </c>
      <c r="EG135" s="35"/>
      <c r="EH135" s="35"/>
      <c r="EI135" s="35"/>
      <c r="EJ135" s="35">
        <v>24480</v>
      </c>
      <c r="EK135" s="35">
        <v>750</v>
      </c>
      <c r="EL135" s="35">
        <v>734</v>
      </c>
      <c r="EM135" s="35"/>
      <c r="EN135" s="35"/>
      <c r="EO135" s="35"/>
      <c r="EP135" s="35"/>
      <c r="EQ135" s="35"/>
      <c r="ER135" s="35"/>
      <c r="ES135" s="35">
        <f t="shared" si="618"/>
        <v>25964</v>
      </c>
      <c r="ET135" s="35"/>
      <c r="EU135" s="35"/>
      <c r="EV135" s="35"/>
      <c r="EW135" s="35">
        <v>24480</v>
      </c>
      <c r="EX135" s="35">
        <v>750</v>
      </c>
      <c r="EY135" s="35">
        <v>734</v>
      </c>
      <c r="EZ135" s="35"/>
      <c r="FA135" s="35"/>
      <c r="FB135" s="35"/>
      <c r="FC135" s="35"/>
      <c r="FD135" s="35"/>
      <c r="FE135" s="35"/>
      <c r="FF135" s="35">
        <f t="shared" si="626"/>
        <v>25964</v>
      </c>
      <c r="FG135" s="35">
        <f t="shared" si="627"/>
        <v>77892</v>
      </c>
      <c r="FH135" s="35">
        <f t="shared" si="628"/>
        <v>307860</v>
      </c>
    </row>
    <row r="136" spans="1:164" x14ac:dyDescent="0.35">
      <c r="A136" s="34"/>
      <c r="B136" s="40"/>
      <c r="C136" s="41" t="s">
        <v>215</v>
      </c>
      <c r="D136" s="35"/>
      <c r="E136" s="35"/>
      <c r="F136" s="35"/>
      <c r="G136" s="35">
        <v>22160</v>
      </c>
      <c r="H136" s="35">
        <v>750</v>
      </c>
      <c r="I136" s="35">
        <v>665</v>
      </c>
      <c r="J136" s="35"/>
      <c r="K136" s="35"/>
      <c r="L136" s="35"/>
      <c r="M136" s="35"/>
      <c r="N136" s="35"/>
      <c r="O136" s="35"/>
      <c r="P136" s="35">
        <f t="shared" si="619"/>
        <v>23575</v>
      </c>
      <c r="Q136" s="35"/>
      <c r="R136" s="35"/>
      <c r="S136" s="35"/>
      <c r="T136" s="35">
        <v>22160</v>
      </c>
      <c r="U136" s="35">
        <v>750</v>
      </c>
      <c r="V136" s="35">
        <v>665</v>
      </c>
      <c r="W136" s="35"/>
      <c r="X136" s="35"/>
      <c r="Y136" s="35"/>
      <c r="Z136" s="35"/>
      <c r="AA136" s="35"/>
      <c r="AB136" s="35"/>
      <c r="AC136" s="35">
        <f t="shared" si="612"/>
        <v>23575</v>
      </c>
      <c r="AD136" s="35"/>
      <c r="AE136" s="35"/>
      <c r="AF136" s="35"/>
      <c r="AG136" s="35">
        <v>22160</v>
      </c>
      <c r="AH136" s="35">
        <v>750</v>
      </c>
      <c r="AI136" s="35">
        <v>665</v>
      </c>
      <c r="AJ136" s="35"/>
      <c r="AK136" s="35"/>
      <c r="AL136" s="35"/>
      <c r="AM136" s="35"/>
      <c r="AN136" s="35"/>
      <c r="AO136" s="35"/>
      <c r="AP136" s="35">
        <f t="shared" si="613"/>
        <v>23575</v>
      </c>
      <c r="AQ136" s="35">
        <f t="shared" si="614"/>
        <v>70725</v>
      </c>
      <c r="AR136" s="35"/>
      <c r="AS136" s="35"/>
      <c r="AT136" s="35"/>
      <c r="AU136" s="35">
        <v>22160</v>
      </c>
      <c r="AV136" s="35">
        <v>750</v>
      </c>
      <c r="AW136" s="35">
        <v>665</v>
      </c>
      <c r="AX136" s="35"/>
      <c r="AY136" s="35"/>
      <c r="AZ136" s="35"/>
      <c r="BA136" s="35"/>
      <c r="BB136" s="35"/>
      <c r="BC136" s="35"/>
      <c r="BD136" s="35">
        <f t="shared" si="620"/>
        <v>23575</v>
      </c>
      <c r="BE136" s="35"/>
      <c r="BF136" s="35"/>
      <c r="BG136" s="35"/>
      <c r="BH136" s="35">
        <v>22160</v>
      </c>
      <c r="BI136" s="35">
        <v>750</v>
      </c>
      <c r="BJ136" s="35">
        <v>665</v>
      </c>
      <c r="BK136" s="35"/>
      <c r="BL136" s="35"/>
      <c r="BM136" s="35"/>
      <c r="BN136" s="35"/>
      <c r="BO136" s="35"/>
      <c r="BP136" s="35"/>
      <c r="BQ136" s="35">
        <f t="shared" si="615"/>
        <v>23575</v>
      </c>
      <c r="BR136" s="35"/>
      <c r="BS136" s="35"/>
      <c r="BT136" s="35"/>
      <c r="BU136" s="35">
        <v>22160</v>
      </c>
      <c r="BV136" s="35">
        <v>750</v>
      </c>
      <c r="BW136" s="35">
        <v>665</v>
      </c>
      <c r="BX136" s="35"/>
      <c r="BY136" s="35"/>
      <c r="BZ136" s="35"/>
      <c r="CA136" s="35"/>
      <c r="CB136" s="35"/>
      <c r="CC136" s="35"/>
      <c r="CD136" s="35">
        <f t="shared" si="616"/>
        <v>23575</v>
      </c>
      <c r="CE136" s="35">
        <f t="shared" si="621"/>
        <v>70725</v>
      </c>
      <c r="CF136" s="35"/>
      <c r="CG136" s="35"/>
      <c r="CH136" s="35"/>
      <c r="CI136" s="35">
        <f>23270+(1110*6)</f>
        <v>29930</v>
      </c>
      <c r="CJ136" s="35">
        <v>750</v>
      </c>
      <c r="CK136" s="35">
        <f>698+(33*6)</f>
        <v>896</v>
      </c>
      <c r="CL136" s="35"/>
      <c r="CM136" s="35"/>
      <c r="CN136" s="35"/>
      <c r="CO136" s="35"/>
      <c r="CP136" s="35"/>
      <c r="CQ136" s="35"/>
      <c r="CR136" s="35">
        <f t="shared" si="622"/>
        <v>31576</v>
      </c>
      <c r="CS136" s="35"/>
      <c r="CT136" s="35"/>
      <c r="CU136" s="35"/>
      <c r="CV136" s="35">
        <f>23270+1200*6</f>
        <v>30470</v>
      </c>
      <c r="CW136" s="35">
        <v>750</v>
      </c>
      <c r="CX136" s="35">
        <f>698+36*6</f>
        <v>914</v>
      </c>
      <c r="CY136" s="35"/>
      <c r="CZ136" s="35"/>
      <c r="DA136" s="35"/>
      <c r="DB136" s="35"/>
      <c r="DC136" s="35"/>
      <c r="DD136" s="35"/>
      <c r="DE136" s="35">
        <f t="shared" si="617"/>
        <v>32134</v>
      </c>
      <c r="DF136" s="35"/>
      <c r="DG136" s="35"/>
      <c r="DH136" s="35"/>
      <c r="DI136" s="35">
        <v>23270</v>
      </c>
      <c r="DJ136" s="35">
        <v>750</v>
      </c>
      <c r="DK136" s="35">
        <v>698</v>
      </c>
      <c r="DL136" s="35"/>
      <c r="DM136" s="35"/>
      <c r="DN136" s="35"/>
      <c r="DO136" s="35"/>
      <c r="DP136" s="35"/>
      <c r="DQ136" s="35"/>
      <c r="DR136" s="35">
        <f t="shared" si="623"/>
        <v>24718</v>
      </c>
      <c r="DS136" s="35">
        <f t="shared" si="624"/>
        <v>88428</v>
      </c>
      <c r="DT136" s="35"/>
      <c r="DU136" s="35"/>
      <c r="DV136" s="35"/>
      <c r="DW136" s="35">
        <v>24470</v>
      </c>
      <c r="DX136" s="35">
        <v>750</v>
      </c>
      <c r="DY136" s="35">
        <v>734</v>
      </c>
      <c r="DZ136" s="35"/>
      <c r="EA136" s="35"/>
      <c r="EB136" s="35"/>
      <c r="EC136" s="35"/>
      <c r="ED136" s="35"/>
      <c r="EE136" s="35"/>
      <c r="EF136" s="35">
        <f t="shared" si="625"/>
        <v>25954</v>
      </c>
      <c r="EG136" s="35"/>
      <c r="EH136" s="35"/>
      <c r="EI136" s="35"/>
      <c r="EJ136" s="35">
        <v>24470</v>
      </c>
      <c r="EK136" s="35">
        <v>750</v>
      </c>
      <c r="EL136" s="35">
        <v>734</v>
      </c>
      <c r="EM136" s="35"/>
      <c r="EN136" s="35"/>
      <c r="EO136" s="35"/>
      <c r="EP136" s="35"/>
      <c r="EQ136" s="35"/>
      <c r="ER136" s="35"/>
      <c r="ES136" s="35">
        <f t="shared" si="618"/>
        <v>25954</v>
      </c>
      <c r="ET136" s="35"/>
      <c r="EU136" s="35"/>
      <c r="EV136" s="35"/>
      <c r="EW136" s="35">
        <v>24470</v>
      </c>
      <c r="EX136" s="35">
        <v>750</v>
      </c>
      <c r="EY136" s="35">
        <v>734</v>
      </c>
      <c r="EZ136" s="35"/>
      <c r="FA136" s="35"/>
      <c r="FB136" s="35"/>
      <c r="FC136" s="35"/>
      <c r="FD136" s="35"/>
      <c r="FE136" s="35"/>
      <c r="FF136" s="35">
        <f t="shared" si="626"/>
        <v>25954</v>
      </c>
      <c r="FG136" s="35">
        <f t="shared" si="627"/>
        <v>77862</v>
      </c>
      <c r="FH136" s="35">
        <f t="shared" si="628"/>
        <v>307740</v>
      </c>
    </row>
    <row r="137" spans="1:164" x14ac:dyDescent="0.35">
      <c r="A137" s="34"/>
      <c r="B137" s="40"/>
      <c r="C137" s="41" t="s">
        <v>216</v>
      </c>
      <c r="D137" s="35"/>
      <c r="E137" s="35"/>
      <c r="F137" s="35"/>
      <c r="G137" s="35"/>
      <c r="H137" s="35"/>
      <c r="I137" s="35"/>
      <c r="J137" s="35"/>
      <c r="K137" s="35"/>
      <c r="L137" s="35"/>
      <c r="M137" s="35">
        <v>22170</v>
      </c>
      <c r="N137" s="35">
        <v>750</v>
      </c>
      <c r="O137" s="35">
        <v>665</v>
      </c>
      <c r="P137" s="35">
        <f t="shared" si="619"/>
        <v>23585</v>
      </c>
      <c r="Q137" s="35"/>
      <c r="R137" s="35"/>
      <c r="S137" s="35"/>
      <c r="T137" s="35"/>
      <c r="U137" s="35"/>
      <c r="V137" s="35"/>
      <c r="W137" s="35"/>
      <c r="X137" s="35"/>
      <c r="Y137" s="35"/>
      <c r="Z137" s="35">
        <v>22170</v>
      </c>
      <c r="AA137" s="35">
        <v>750</v>
      </c>
      <c r="AB137" s="35">
        <v>665</v>
      </c>
      <c r="AC137" s="35">
        <f t="shared" si="612"/>
        <v>23585</v>
      </c>
      <c r="AD137" s="35"/>
      <c r="AE137" s="35"/>
      <c r="AF137" s="35"/>
      <c r="AG137" s="35"/>
      <c r="AH137" s="35"/>
      <c r="AI137" s="35"/>
      <c r="AJ137" s="35"/>
      <c r="AK137" s="35"/>
      <c r="AL137" s="35"/>
      <c r="AM137" s="35">
        <v>22170</v>
      </c>
      <c r="AN137" s="35">
        <v>750</v>
      </c>
      <c r="AO137" s="35">
        <v>665</v>
      </c>
      <c r="AP137" s="35">
        <f t="shared" si="613"/>
        <v>23585</v>
      </c>
      <c r="AQ137" s="35">
        <f t="shared" si="614"/>
        <v>70755</v>
      </c>
      <c r="AR137" s="35"/>
      <c r="AS137" s="35"/>
      <c r="AT137" s="35"/>
      <c r="AU137" s="35"/>
      <c r="AV137" s="35"/>
      <c r="AW137" s="35"/>
      <c r="AX137" s="35"/>
      <c r="AY137" s="35"/>
      <c r="AZ137" s="35"/>
      <c r="BA137" s="35">
        <v>22170</v>
      </c>
      <c r="BB137" s="35">
        <v>750</v>
      </c>
      <c r="BC137" s="35">
        <v>665</v>
      </c>
      <c r="BD137" s="35">
        <f t="shared" si="620"/>
        <v>23585</v>
      </c>
      <c r="BE137" s="35"/>
      <c r="BF137" s="35"/>
      <c r="BG137" s="35"/>
      <c r="BH137" s="35"/>
      <c r="BI137" s="35"/>
      <c r="BJ137" s="35"/>
      <c r="BK137" s="35"/>
      <c r="BL137" s="35"/>
      <c r="BM137" s="35"/>
      <c r="BN137" s="35">
        <v>22170</v>
      </c>
      <c r="BO137" s="35">
        <v>750</v>
      </c>
      <c r="BP137" s="35">
        <v>665</v>
      </c>
      <c r="BQ137" s="35">
        <f t="shared" si="615"/>
        <v>23585</v>
      </c>
      <c r="BR137" s="35"/>
      <c r="BS137" s="35"/>
      <c r="BT137" s="35"/>
      <c r="BU137" s="35"/>
      <c r="BV137" s="35"/>
      <c r="BW137" s="35"/>
      <c r="BX137" s="35"/>
      <c r="BY137" s="35"/>
      <c r="BZ137" s="35"/>
      <c r="CA137" s="35">
        <v>22170</v>
      </c>
      <c r="CB137" s="35">
        <v>750</v>
      </c>
      <c r="CC137" s="35">
        <v>665</v>
      </c>
      <c r="CD137" s="35">
        <f t="shared" si="616"/>
        <v>23585</v>
      </c>
      <c r="CE137" s="35">
        <f t="shared" si="621"/>
        <v>70755</v>
      </c>
      <c r="CF137" s="35"/>
      <c r="CG137" s="35"/>
      <c r="CH137" s="35"/>
      <c r="CI137" s="35"/>
      <c r="CJ137" s="35"/>
      <c r="CK137" s="35"/>
      <c r="CL137" s="35"/>
      <c r="CM137" s="35"/>
      <c r="CN137" s="35"/>
      <c r="CO137" s="35">
        <f>23280+(1110*6)</f>
        <v>29940</v>
      </c>
      <c r="CP137" s="35">
        <v>750</v>
      </c>
      <c r="CQ137" s="35">
        <f>698+(33*6)</f>
        <v>896</v>
      </c>
      <c r="CR137" s="35">
        <f t="shared" si="622"/>
        <v>31586</v>
      </c>
      <c r="CS137" s="35"/>
      <c r="CT137" s="35"/>
      <c r="CU137" s="35"/>
      <c r="CV137" s="35"/>
      <c r="CW137" s="35"/>
      <c r="CX137" s="35"/>
      <c r="CY137" s="35"/>
      <c r="CZ137" s="35"/>
      <c r="DA137" s="35"/>
      <c r="DB137" s="35">
        <f>23280+1200*6</f>
        <v>30480</v>
      </c>
      <c r="DC137" s="35">
        <v>750</v>
      </c>
      <c r="DD137" s="35">
        <f>698+36*6</f>
        <v>914</v>
      </c>
      <c r="DE137" s="35">
        <f t="shared" si="617"/>
        <v>32144</v>
      </c>
      <c r="DF137" s="35"/>
      <c r="DG137" s="35"/>
      <c r="DH137" s="35"/>
      <c r="DI137" s="35"/>
      <c r="DJ137" s="35"/>
      <c r="DK137" s="35"/>
      <c r="DL137" s="35"/>
      <c r="DM137" s="35"/>
      <c r="DN137" s="35"/>
      <c r="DO137" s="35">
        <v>23280</v>
      </c>
      <c r="DP137" s="35">
        <v>750</v>
      </c>
      <c r="DQ137" s="35">
        <v>698</v>
      </c>
      <c r="DR137" s="35">
        <f t="shared" si="623"/>
        <v>24728</v>
      </c>
      <c r="DS137" s="35">
        <f t="shared" si="624"/>
        <v>88458</v>
      </c>
      <c r="DT137" s="35"/>
      <c r="DU137" s="35"/>
      <c r="DV137" s="35"/>
      <c r="DW137" s="35"/>
      <c r="DX137" s="35"/>
      <c r="DY137" s="35"/>
      <c r="DZ137" s="35"/>
      <c r="EA137" s="35"/>
      <c r="EB137" s="35"/>
      <c r="EC137" s="35">
        <v>24480</v>
      </c>
      <c r="ED137" s="35">
        <v>750</v>
      </c>
      <c r="EE137" s="35">
        <v>734</v>
      </c>
      <c r="EF137" s="35">
        <f t="shared" si="625"/>
        <v>25964</v>
      </c>
      <c r="EG137" s="35"/>
      <c r="EH137" s="35"/>
      <c r="EI137" s="35"/>
      <c r="EJ137" s="35"/>
      <c r="EK137" s="35"/>
      <c r="EL137" s="35"/>
      <c r="EM137" s="35"/>
      <c r="EN137" s="35"/>
      <c r="EO137" s="35"/>
      <c r="EP137" s="35">
        <v>24480</v>
      </c>
      <c r="EQ137" s="35">
        <v>750</v>
      </c>
      <c r="ER137" s="35">
        <v>734</v>
      </c>
      <c r="ES137" s="35">
        <f t="shared" si="618"/>
        <v>25964</v>
      </c>
      <c r="ET137" s="35"/>
      <c r="EU137" s="35"/>
      <c r="EV137" s="35"/>
      <c r="EW137" s="35"/>
      <c r="EX137" s="35"/>
      <c r="EY137" s="35"/>
      <c r="EZ137" s="35"/>
      <c r="FA137" s="35"/>
      <c r="FB137" s="35"/>
      <c r="FC137" s="35">
        <v>24480</v>
      </c>
      <c r="FD137" s="35">
        <v>750</v>
      </c>
      <c r="FE137" s="35">
        <v>734</v>
      </c>
      <c r="FF137" s="35">
        <f t="shared" si="626"/>
        <v>25964</v>
      </c>
      <c r="FG137" s="35">
        <f t="shared" si="627"/>
        <v>77892</v>
      </c>
      <c r="FH137" s="35">
        <f t="shared" si="628"/>
        <v>307860</v>
      </c>
    </row>
    <row r="138" spans="1:164" x14ac:dyDescent="0.35">
      <c r="A138" s="34"/>
      <c r="B138" s="40"/>
      <c r="C138" s="41" t="s">
        <v>217</v>
      </c>
      <c r="D138" s="35">
        <v>27670</v>
      </c>
      <c r="E138" s="35">
        <v>750</v>
      </c>
      <c r="F138" s="35">
        <v>830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>
        <f t="shared" si="619"/>
        <v>29250</v>
      </c>
      <c r="Q138" s="35">
        <v>27670</v>
      </c>
      <c r="R138" s="35">
        <v>750</v>
      </c>
      <c r="S138" s="35">
        <v>830</v>
      </c>
      <c r="T138" s="35"/>
      <c r="U138" s="35"/>
      <c r="V138" s="35"/>
      <c r="W138" s="35"/>
      <c r="X138" s="35"/>
      <c r="Y138" s="35"/>
      <c r="Z138" s="35"/>
      <c r="AA138" s="35"/>
      <c r="AB138" s="35"/>
      <c r="AC138" s="35">
        <f t="shared" si="612"/>
        <v>29250</v>
      </c>
      <c r="AD138" s="35">
        <v>27670</v>
      </c>
      <c r="AE138" s="35">
        <v>750</v>
      </c>
      <c r="AF138" s="35">
        <v>830</v>
      </c>
      <c r="AG138" s="35"/>
      <c r="AH138" s="35"/>
      <c r="AI138" s="35"/>
      <c r="AJ138" s="35"/>
      <c r="AK138" s="35"/>
      <c r="AL138" s="35"/>
      <c r="AM138" s="35"/>
      <c r="AN138" s="35"/>
      <c r="AO138" s="35"/>
      <c r="AP138" s="35">
        <f t="shared" si="613"/>
        <v>29250</v>
      </c>
      <c r="AQ138" s="35">
        <f t="shared" si="614"/>
        <v>87750</v>
      </c>
      <c r="AR138" s="35">
        <v>27670</v>
      </c>
      <c r="AS138" s="35">
        <v>750</v>
      </c>
      <c r="AT138" s="35">
        <v>830</v>
      </c>
      <c r="AU138" s="35"/>
      <c r="AV138" s="35"/>
      <c r="AW138" s="35"/>
      <c r="AX138" s="35"/>
      <c r="AY138" s="35"/>
      <c r="AZ138" s="35"/>
      <c r="BA138" s="35"/>
      <c r="BB138" s="35"/>
      <c r="BC138" s="35"/>
      <c r="BD138" s="35">
        <f t="shared" si="620"/>
        <v>29250</v>
      </c>
      <c r="BE138" s="35">
        <v>27670</v>
      </c>
      <c r="BF138" s="35">
        <v>750</v>
      </c>
      <c r="BG138" s="35">
        <v>830</v>
      </c>
      <c r="BH138" s="35"/>
      <c r="BI138" s="35"/>
      <c r="BJ138" s="35"/>
      <c r="BK138" s="35"/>
      <c r="BL138" s="35"/>
      <c r="BM138" s="35"/>
      <c r="BN138" s="35"/>
      <c r="BO138" s="35"/>
      <c r="BP138" s="35"/>
      <c r="BQ138" s="35">
        <f t="shared" si="615"/>
        <v>29250</v>
      </c>
      <c r="BR138" s="35">
        <v>27670</v>
      </c>
      <c r="BS138" s="35">
        <v>750</v>
      </c>
      <c r="BT138" s="35">
        <v>830</v>
      </c>
      <c r="BU138" s="35"/>
      <c r="BV138" s="35"/>
      <c r="BW138" s="35"/>
      <c r="BX138" s="35"/>
      <c r="BY138" s="35"/>
      <c r="BZ138" s="35"/>
      <c r="CA138" s="35"/>
      <c r="CB138" s="35"/>
      <c r="CC138" s="35"/>
      <c r="CD138" s="35">
        <f t="shared" si="616"/>
        <v>29250</v>
      </c>
      <c r="CE138" s="35">
        <f t="shared" si="621"/>
        <v>87750</v>
      </c>
      <c r="CF138" s="35">
        <f>29050+(1380*6)</f>
        <v>37330</v>
      </c>
      <c r="CG138" s="35">
        <v>750</v>
      </c>
      <c r="CH138" s="35">
        <f>872+(41*6)</f>
        <v>1118</v>
      </c>
      <c r="CI138" s="35"/>
      <c r="CJ138" s="35"/>
      <c r="CK138" s="35"/>
      <c r="CL138" s="35"/>
      <c r="CM138" s="35"/>
      <c r="CN138" s="35"/>
      <c r="CO138" s="35"/>
      <c r="CP138" s="35"/>
      <c r="CQ138" s="35"/>
      <c r="CR138" s="35">
        <f t="shared" si="622"/>
        <v>39198</v>
      </c>
      <c r="CS138" s="35">
        <f>29050+2800*6</f>
        <v>45850</v>
      </c>
      <c r="CT138" s="35">
        <v>750</v>
      </c>
      <c r="CU138" s="35">
        <f>872+84*6</f>
        <v>1376</v>
      </c>
      <c r="CV138" s="35"/>
      <c r="CW138" s="35"/>
      <c r="CX138" s="35"/>
      <c r="CY138" s="35"/>
      <c r="CZ138" s="35"/>
      <c r="DA138" s="35"/>
      <c r="DB138" s="35"/>
      <c r="DC138" s="35"/>
      <c r="DD138" s="35"/>
      <c r="DE138" s="35">
        <f t="shared" si="617"/>
        <v>47976</v>
      </c>
      <c r="DF138" s="35">
        <v>29050</v>
      </c>
      <c r="DG138" s="35">
        <v>750</v>
      </c>
      <c r="DH138" s="35">
        <v>872</v>
      </c>
      <c r="DI138" s="35"/>
      <c r="DJ138" s="35"/>
      <c r="DK138" s="35"/>
      <c r="DL138" s="35"/>
      <c r="DM138" s="35"/>
      <c r="DN138" s="35"/>
      <c r="DO138" s="35"/>
      <c r="DP138" s="35"/>
      <c r="DQ138" s="35"/>
      <c r="DR138" s="35">
        <f t="shared" si="623"/>
        <v>30672</v>
      </c>
      <c r="DS138" s="35">
        <f t="shared" si="624"/>
        <v>117846</v>
      </c>
      <c r="DT138" s="35">
        <v>31850</v>
      </c>
      <c r="DU138" s="35">
        <v>750</v>
      </c>
      <c r="DV138" s="35">
        <v>956</v>
      </c>
      <c r="DW138" s="35"/>
      <c r="DX138" s="35"/>
      <c r="DY138" s="35"/>
      <c r="DZ138" s="35"/>
      <c r="EA138" s="35"/>
      <c r="EB138" s="35"/>
      <c r="EC138" s="35"/>
      <c r="ED138" s="35"/>
      <c r="EE138" s="35"/>
      <c r="EF138" s="35">
        <f t="shared" si="625"/>
        <v>33556</v>
      </c>
      <c r="EG138" s="35">
        <v>31850</v>
      </c>
      <c r="EH138" s="35">
        <v>750</v>
      </c>
      <c r="EI138" s="35">
        <v>956</v>
      </c>
      <c r="EJ138" s="35"/>
      <c r="EK138" s="35"/>
      <c r="EL138" s="35"/>
      <c r="EM138" s="35"/>
      <c r="EN138" s="35"/>
      <c r="EO138" s="35"/>
      <c r="EP138" s="35"/>
      <c r="EQ138" s="35"/>
      <c r="ER138" s="35"/>
      <c r="ES138" s="35">
        <f t="shared" si="618"/>
        <v>33556</v>
      </c>
      <c r="ET138" s="35">
        <v>31850</v>
      </c>
      <c r="EU138" s="35">
        <v>750</v>
      </c>
      <c r="EV138" s="35">
        <v>956</v>
      </c>
      <c r="EW138" s="35"/>
      <c r="EX138" s="35"/>
      <c r="EY138" s="35"/>
      <c r="EZ138" s="35"/>
      <c r="FA138" s="35"/>
      <c r="FB138" s="35"/>
      <c r="FC138" s="35"/>
      <c r="FD138" s="35"/>
      <c r="FE138" s="35"/>
      <c r="FF138" s="35">
        <f t="shared" si="626"/>
        <v>33556</v>
      </c>
      <c r="FG138" s="35">
        <f t="shared" si="627"/>
        <v>100668</v>
      </c>
      <c r="FH138" s="35">
        <f t="shared" si="628"/>
        <v>394014</v>
      </c>
    </row>
    <row r="139" spans="1:164" x14ac:dyDescent="0.35">
      <c r="A139" s="34"/>
      <c r="B139" s="40"/>
      <c r="C139" s="41" t="s">
        <v>280</v>
      </c>
      <c r="D139" s="35">
        <v>27670</v>
      </c>
      <c r="E139" s="35">
        <v>750</v>
      </c>
      <c r="F139" s="35">
        <v>830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>
        <f t="shared" si="619"/>
        <v>29250</v>
      </c>
      <c r="Q139" s="35">
        <v>27670</v>
      </c>
      <c r="R139" s="35">
        <v>750</v>
      </c>
      <c r="S139" s="35">
        <v>830</v>
      </c>
      <c r="T139" s="35"/>
      <c r="U139" s="35"/>
      <c r="V139" s="35"/>
      <c r="W139" s="35"/>
      <c r="X139" s="35"/>
      <c r="Y139" s="35"/>
      <c r="Z139" s="35"/>
      <c r="AA139" s="35"/>
      <c r="AB139" s="35"/>
      <c r="AC139" s="35">
        <f t="shared" si="612"/>
        <v>29250</v>
      </c>
      <c r="AD139" s="35">
        <v>27670</v>
      </c>
      <c r="AE139" s="35">
        <v>750</v>
      </c>
      <c r="AF139" s="35">
        <v>830</v>
      </c>
      <c r="AG139" s="35"/>
      <c r="AH139" s="35"/>
      <c r="AI139" s="35"/>
      <c r="AJ139" s="35"/>
      <c r="AK139" s="35"/>
      <c r="AL139" s="35"/>
      <c r="AM139" s="35"/>
      <c r="AN139" s="35"/>
      <c r="AO139" s="35"/>
      <c r="AP139" s="35">
        <f t="shared" si="613"/>
        <v>29250</v>
      </c>
      <c r="AQ139" s="35">
        <f t="shared" si="614"/>
        <v>87750</v>
      </c>
      <c r="AR139" s="35">
        <v>27670</v>
      </c>
      <c r="AS139" s="35">
        <v>750</v>
      </c>
      <c r="AT139" s="35">
        <v>830</v>
      </c>
      <c r="AU139" s="35"/>
      <c r="AV139" s="35"/>
      <c r="AW139" s="35"/>
      <c r="AX139" s="35"/>
      <c r="AY139" s="35"/>
      <c r="AZ139" s="35"/>
      <c r="BA139" s="35"/>
      <c r="BB139" s="35"/>
      <c r="BC139" s="35"/>
      <c r="BD139" s="35">
        <f t="shared" si="620"/>
        <v>29250</v>
      </c>
      <c r="BE139" s="35">
        <v>27670</v>
      </c>
      <c r="BF139" s="35">
        <v>750</v>
      </c>
      <c r="BG139" s="35">
        <v>830</v>
      </c>
      <c r="BH139" s="35"/>
      <c r="BI139" s="35"/>
      <c r="BJ139" s="35"/>
      <c r="BK139" s="35"/>
      <c r="BL139" s="35"/>
      <c r="BM139" s="35"/>
      <c r="BN139" s="35"/>
      <c r="BO139" s="35"/>
      <c r="BP139" s="35"/>
      <c r="BQ139" s="35">
        <f t="shared" si="615"/>
        <v>29250</v>
      </c>
      <c r="BR139" s="35">
        <v>27670</v>
      </c>
      <c r="BS139" s="35">
        <v>750</v>
      </c>
      <c r="BT139" s="35">
        <v>830</v>
      </c>
      <c r="BU139" s="35"/>
      <c r="BV139" s="35"/>
      <c r="BW139" s="35"/>
      <c r="BX139" s="35"/>
      <c r="BY139" s="35"/>
      <c r="BZ139" s="35"/>
      <c r="CA139" s="35"/>
      <c r="CB139" s="35"/>
      <c r="CC139" s="35"/>
      <c r="CD139" s="35">
        <f t="shared" si="616"/>
        <v>29250</v>
      </c>
      <c r="CE139" s="35">
        <f t="shared" si="621"/>
        <v>87750</v>
      </c>
      <c r="CF139" s="35">
        <f>29060+(1390*6)</f>
        <v>37400</v>
      </c>
      <c r="CG139" s="35">
        <v>750</v>
      </c>
      <c r="CH139" s="35">
        <f>872+(42*6)</f>
        <v>1124</v>
      </c>
      <c r="CI139" s="35"/>
      <c r="CJ139" s="35"/>
      <c r="CK139" s="35"/>
      <c r="CL139" s="35"/>
      <c r="CM139" s="35"/>
      <c r="CN139" s="35"/>
      <c r="CO139" s="35"/>
      <c r="CP139" s="35"/>
      <c r="CQ139" s="35"/>
      <c r="CR139" s="35">
        <f t="shared" si="622"/>
        <v>39274</v>
      </c>
      <c r="CS139" s="35">
        <f>29060+2800*6</f>
        <v>45860</v>
      </c>
      <c r="CT139" s="35">
        <v>750</v>
      </c>
      <c r="CU139" s="35">
        <f>872+84*6</f>
        <v>1376</v>
      </c>
      <c r="CV139" s="35"/>
      <c r="CW139" s="35"/>
      <c r="CX139" s="35"/>
      <c r="CY139" s="35"/>
      <c r="CZ139" s="35"/>
      <c r="DA139" s="35"/>
      <c r="DB139" s="35"/>
      <c r="DC139" s="35"/>
      <c r="DD139" s="35"/>
      <c r="DE139" s="35">
        <f t="shared" si="617"/>
        <v>47986</v>
      </c>
      <c r="DF139" s="35">
        <v>29060</v>
      </c>
      <c r="DG139" s="35">
        <v>750</v>
      </c>
      <c r="DH139" s="35">
        <v>872</v>
      </c>
      <c r="DI139" s="35"/>
      <c r="DJ139" s="35"/>
      <c r="DK139" s="35"/>
      <c r="DL139" s="35"/>
      <c r="DM139" s="35"/>
      <c r="DN139" s="35"/>
      <c r="DO139" s="35"/>
      <c r="DP139" s="35"/>
      <c r="DQ139" s="35"/>
      <c r="DR139" s="35">
        <f t="shared" si="623"/>
        <v>30682</v>
      </c>
      <c r="DS139" s="35">
        <f t="shared" si="624"/>
        <v>117942</v>
      </c>
      <c r="DT139" s="35">
        <v>31860</v>
      </c>
      <c r="DU139" s="35">
        <v>750</v>
      </c>
      <c r="DV139" s="35">
        <v>956</v>
      </c>
      <c r="DW139" s="35"/>
      <c r="DX139" s="35"/>
      <c r="DY139" s="35"/>
      <c r="DZ139" s="35"/>
      <c r="EA139" s="35"/>
      <c r="EB139" s="35"/>
      <c r="EC139" s="35"/>
      <c r="ED139" s="35"/>
      <c r="EE139" s="35"/>
      <c r="EF139" s="35">
        <f t="shared" si="625"/>
        <v>33566</v>
      </c>
      <c r="EG139" s="35">
        <v>31860</v>
      </c>
      <c r="EH139" s="35">
        <v>750</v>
      </c>
      <c r="EI139" s="35">
        <v>956</v>
      </c>
      <c r="EJ139" s="35"/>
      <c r="EK139" s="35"/>
      <c r="EL139" s="35"/>
      <c r="EM139" s="35"/>
      <c r="EN139" s="35"/>
      <c r="EO139" s="35"/>
      <c r="EP139" s="35"/>
      <c r="EQ139" s="35"/>
      <c r="ER139" s="35"/>
      <c r="ES139" s="35">
        <f t="shared" si="618"/>
        <v>33566</v>
      </c>
      <c r="ET139" s="35">
        <v>31860</v>
      </c>
      <c r="EU139" s="35">
        <v>750</v>
      </c>
      <c r="EV139" s="35">
        <v>956</v>
      </c>
      <c r="EW139" s="35"/>
      <c r="EX139" s="35"/>
      <c r="EY139" s="35"/>
      <c r="EZ139" s="35"/>
      <c r="FA139" s="35"/>
      <c r="FB139" s="35"/>
      <c r="FC139" s="35"/>
      <c r="FD139" s="35"/>
      <c r="FE139" s="35"/>
      <c r="FF139" s="35">
        <f t="shared" si="626"/>
        <v>33566</v>
      </c>
      <c r="FG139" s="35">
        <f t="shared" si="627"/>
        <v>100698</v>
      </c>
      <c r="FH139" s="35">
        <f t="shared" si="628"/>
        <v>394140</v>
      </c>
    </row>
    <row r="140" spans="1:164" x14ac:dyDescent="0.35">
      <c r="A140" s="34"/>
      <c r="B140" s="40"/>
      <c r="C140" s="41" t="s">
        <v>219</v>
      </c>
      <c r="D140" s="35"/>
      <c r="E140" s="35"/>
      <c r="F140" s="35"/>
      <c r="G140" s="35"/>
      <c r="H140" s="35"/>
      <c r="I140" s="35"/>
      <c r="J140" s="35">
        <v>27670</v>
      </c>
      <c r="K140" s="35">
        <v>750</v>
      </c>
      <c r="L140" s="35">
        <v>830</v>
      </c>
      <c r="M140" s="35"/>
      <c r="N140" s="35"/>
      <c r="O140" s="35"/>
      <c r="P140" s="35">
        <f t="shared" si="619"/>
        <v>29250</v>
      </c>
      <c r="Q140" s="35"/>
      <c r="R140" s="35"/>
      <c r="S140" s="35"/>
      <c r="T140" s="35"/>
      <c r="U140" s="35"/>
      <c r="V140" s="35"/>
      <c r="W140" s="35">
        <v>27670</v>
      </c>
      <c r="X140" s="35">
        <v>750</v>
      </c>
      <c r="Y140" s="35">
        <v>830</v>
      </c>
      <c r="Z140" s="35"/>
      <c r="AA140" s="35"/>
      <c r="AB140" s="35"/>
      <c r="AC140" s="35">
        <f t="shared" si="612"/>
        <v>29250</v>
      </c>
      <c r="AD140" s="35"/>
      <c r="AE140" s="35"/>
      <c r="AF140" s="35"/>
      <c r="AG140" s="35"/>
      <c r="AH140" s="35"/>
      <c r="AI140" s="35"/>
      <c r="AJ140" s="35">
        <v>27670</v>
      </c>
      <c r="AK140" s="35">
        <v>750</v>
      </c>
      <c r="AL140" s="35">
        <v>830</v>
      </c>
      <c r="AM140" s="35"/>
      <c r="AN140" s="35"/>
      <c r="AO140" s="35"/>
      <c r="AP140" s="35">
        <f t="shared" si="613"/>
        <v>29250</v>
      </c>
      <c r="AQ140" s="35">
        <f t="shared" si="614"/>
        <v>87750</v>
      </c>
      <c r="AR140" s="35"/>
      <c r="AS140" s="35"/>
      <c r="AT140" s="35"/>
      <c r="AU140" s="35"/>
      <c r="AV140" s="35"/>
      <c r="AW140" s="35"/>
      <c r="AX140" s="35">
        <v>27670</v>
      </c>
      <c r="AY140" s="35">
        <v>750</v>
      </c>
      <c r="AZ140" s="35">
        <v>830</v>
      </c>
      <c r="BA140" s="35"/>
      <c r="BB140" s="35"/>
      <c r="BC140" s="35"/>
      <c r="BD140" s="35">
        <f t="shared" si="620"/>
        <v>29250</v>
      </c>
      <c r="BE140" s="35"/>
      <c r="BF140" s="35"/>
      <c r="BG140" s="35"/>
      <c r="BH140" s="35"/>
      <c r="BI140" s="35"/>
      <c r="BJ140" s="35"/>
      <c r="BK140" s="35">
        <v>27670</v>
      </c>
      <c r="BL140" s="35">
        <v>750</v>
      </c>
      <c r="BM140" s="35">
        <v>830</v>
      </c>
      <c r="BN140" s="35"/>
      <c r="BO140" s="35"/>
      <c r="BP140" s="35"/>
      <c r="BQ140" s="35">
        <f t="shared" si="615"/>
        <v>29250</v>
      </c>
      <c r="BR140" s="35"/>
      <c r="BS140" s="35"/>
      <c r="BT140" s="35"/>
      <c r="BU140" s="35"/>
      <c r="BV140" s="35"/>
      <c r="BW140" s="35"/>
      <c r="BX140" s="35">
        <v>27670</v>
      </c>
      <c r="BY140" s="35">
        <v>750</v>
      </c>
      <c r="BZ140" s="35">
        <v>830</v>
      </c>
      <c r="CA140" s="35"/>
      <c r="CB140" s="35"/>
      <c r="CC140" s="35"/>
      <c r="CD140" s="35">
        <f t="shared" si="616"/>
        <v>29250</v>
      </c>
      <c r="CE140" s="35">
        <f t="shared" si="621"/>
        <v>87750</v>
      </c>
      <c r="CF140" s="35"/>
      <c r="CG140" s="35"/>
      <c r="CH140" s="35"/>
      <c r="CI140" s="35"/>
      <c r="CJ140" s="35"/>
      <c r="CK140" s="35"/>
      <c r="CL140" s="35">
        <f>29060+(1390*6)</f>
        <v>37400</v>
      </c>
      <c r="CM140" s="35">
        <v>750</v>
      </c>
      <c r="CN140" s="35">
        <f>872+(42*6)</f>
        <v>1124</v>
      </c>
      <c r="CO140" s="35"/>
      <c r="CP140" s="35"/>
      <c r="CQ140" s="35"/>
      <c r="CR140" s="35">
        <f t="shared" si="622"/>
        <v>39274</v>
      </c>
      <c r="CS140" s="35"/>
      <c r="CT140" s="35"/>
      <c r="CU140" s="35"/>
      <c r="CV140" s="35"/>
      <c r="CW140" s="35"/>
      <c r="CX140" s="35"/>
      <c r="CY140" s="35">
        <f>29060+2800*6</f>
        <v>45860</v>
      </c>
      <c r="CZ140" s="35">
        <v>750</v>
      </c>
      <c r="DA140" s="35">
        <f>872+84*6</f>
        <v>1376</v>
      </c>
      <c r="DB140" s="35"/>
      <c r="DC140" s="35"/>
      <c r="DD140" s="35"/>
      <c r="DE140" s="35">
        <f t="shared" si="617"/>
        <v>47986</v>
      </c>
      <c r="DF140" s="35"/>
      <c r="DG140" s="35"/>
      <c r="DH140" s="35"/>
      <c r="DI140" s="35"/>
      <c r="DJ140" s="35"/>
      <c r="DK140" s="35"/>
      <c r="DL140" s="35">
        <v>29060</v>
      </c>
      <c r="DM140" s="35">
        <v>750</v>
      </c>
      <c r="DN140" s="35">
        <v>872</v>
      </c>
      <c r="DO140" s="35"/>
      <c r="DP140" s="35"/>
      <c r="DQ140" s="35"/>
      <c r="DR140" s="35">
        <f t="shared" si="623"/>
        <v>30682</v>
      </c>
      <c r="DS140" s="35">
        <f t="shared" si="624"/>
        <v>117942</v>
      </c>
      <c r="DT140" s="35"/>
      <c r="DU140" s="35"/>
      <c r="DV140" s="35"/>
      <c r="DW140" s="35"/>
      <c r="DX140" s="35"/>
      <c r="DY140" s="35"/>
      <c r="DZ140" s="35">
        <v>31860</v>
      </c>
      <c r="EA140" s="35">
        <v>750</v>
      </c>
      <c r="EB140" s="35">
        <v>956</v>
      </c>
      <c r="EC140" s="35"/>
      <c r="ED140" s="35"/>
      <c r="EE140" s="35"/>
      <c r="EF140" s="35">
        <f t="shared" si="625"/>
        <v>33566</v>
      </c>
      <c r="EG140" s="35"/>
      <c r="EH140" s="35"/>
      <c r="EI140" s="35"/>
      <c r="EJ140" s="35"/>
      <c r="EK140" s="35"/>
      <c r="EL140" s="35"/>
      <c r="EM140" s="35">
        <v>31860</v>
      </c>
      <c r="EN140" s="35">
        <v>750</v>
      </c>
      <c r="EO140" s="35">
        <v>956</v>
      </c>
      <c r="EP140" s="35"/>
      <c r="EQ140" s="35"/>
      <c r="ER140" s="35"/>
      <c r="ES140" s="35">
        <f t="shared" si="618"/>
        <v>33566</v>
      </c>
      <c r="ET140" s="35"/>
      <c r="EU140" s="35"/>
      <c r="EV140" s="35"/>
      <c r="EW140" s="35"/>
      <c r="EX140" s="35"/>
      <c r="EY140" s="35"/>
      <c r="EZ140" s="35">
        <v>31860</v>
      </c>
      <c r="FA140" s="35">
        <v>750</v>
      </c>
      <c r="FB140" s="35">
        <v>956</v>
      </c>
      <c r="FC140" s="35"/>
      <c r="FD140" s="35"/>
      <c r="FE140" s="35"/>
      <c r="FF140" s="35">
        <f t="shared" si="626"/>
        <v>33566</v>
      </c>
      <c r="FG140" s="35">
        <f t="shared" si="627"/>
        <v>100698</v>
      </c>
      <c r="FH140" s="35">
        <f t="shared" si="628"/>
        <v>394140</v>
      </c>
    </row>
    <row r="141" spans="1:164" x14ac:dyDescent="0.35">
      <c r="A141" s="34"/>
      <c r="B141" s="40"/>
      <c r="C141" s="41" t="s">
        <v>220</v>
      </c>
      <c r="D141" s="35"/>
      <c r="E141" s="35"/>
      <c r="F141" s="35"/>
      <c r="G141" s="35"/>
      <c r="H141" s="35"/>
      <c r="I141" s="35"/>
      <c r="J141" s="35"/>
      <c r="K141" s="35"/>
      <c r="L141" s="35"/>
      <c r="M141" s="35">
        <v>21690</v>
      </c>
      <c r="N141" s="35">
        <v>750</v>
      </c>
      <c r="O141" s="35">
        <v>651</v>
      </c>
      <c r="P141" s="35">
        <f t="shared" si="619"/>
        <v>23091</v>
      </c>
      <c r="Q141" s="35"/>
      <c r="R141" s="35"/>
      <c r="S141" s="35"/>
      <c r="T141" s="35"/>
      <c r="U141" s="35"/>
      <c r="V141" s="35"/>
      <c r="W141" s="35"/>
      <c r="X141" s="35"/>
      <c r="Y141" s="35"/>
      <c r="Z141" s="35">
        <v>21690</v>
      </c>
      <c r="AA141" s="35">
        <v>750</v>
      </c>
      <c r="AB141" s="35">
        <v>651</v>
      </c>
      <c r="AC141" s="35">
        <f t="shared" si="612"/>
        <v>23091</v>
      </c>
      <c r="AD141" s="35"/>
      <c r="AE141" s="35"/>
      <c r="AF141" s="35"/>
      <c r="AG141" s="35"/>
      <c r="AH141" s="35"/>
      <c r="AI141" s="35"/>
      <c r="AJ141" s="35"/>
      <c r="AK141" s="35"/>
      <c r="AL141" s="35"/>
      <c r="AM141" s="35">
        <v>21690</v>
      </c>
      <c r="AN141" s="35">
        <v>750</v>
      </c>
      <c r="AO141" s="35">
        <v>651</v>
      </c>
      <c r="AP141" s="35">
        <f t="shared" si="613"/>
        <v>23091</v>
      </c>
      <c r="AQ141" s="35">
        <f t="shared" si="614"/>
        <v>69273</v>
      </c>
      <c r="AR141" s="35"/>
      <c r="AS141" s="35"/>
      <c r="AT141" s="35"/>
      <c r="AU141" s="35"/>
      <c r="AV141" s="35"/>
      <c r="AW141" s="35"/>
      <c r="AX141" s="35"/>
      <c r="AY141" s="35"/>
      <c r="AZ141" s="35"/>
      <c r="BA141" s="35">
        <v>21690</v>
      </c>
      <c r="BB141" s="35">
        <v>750</v>
      </c>
      <c r="BC141" s="35">
        <v>651</v>
      </c>
      <c r="BD141" s="35">
        <f t="shared" si="620"/>
        <v>23091</v>
      </c>
      <c r="BE141" s="35"/>
      <c r="BF141" s="35"/>
      <c r="BG141" s="35"/>
      <c r="BH141" s="35"/>
      <c r="BI141" s="35"/>
      <c r="BJ141" s="35"/>
      <c r="BK141" s="35"/>
      <c r="BL141" s="35"/>
      <c r="BM141" s="35"/>
      <c r="BN141" s="35">
        <v>21690</v>
      </c>
      <c r="BO141" s="35">
        <v>750</v>
      </c>
      <c r="BP141" s="35">
        <v>651</v>
      </c>
      <c r="BQ141" s="35">
        <f t="shared" si="615"/>
        <v>23091</v>
      </c>
      <c r="BR141" s="35"/>
      <c r="BS141" s="35"/>
      <c r="BT141" s="35"/>
      <c r="BU141" s="35"/>
      <c r="BV141" s="35"/>
      <c r="BW141" s="35"/>
      <c r="BX141" s="35"/>
      <c r="BY141" s="35"/>
      <c r="BZ141" s="35"/>
      <c r="CA141" s="35">
        <v>21690</v>
      </c>
      <c r="CB141" s="35">
        <v>750</v>
      </c>
      <c r="CC141" s="35">
        <v>651</v>
      </c>
      <c r="CD141" s="35">
        <f t="shared" si="616"/>
        <v>23091</v>
      </c>
      <c r="CE141" s="35">
        <f t="shared" si="621"/>
        <v>69273</v>
      </c>
      <c r="CF141" s="35"/>
      <c r="CG141" s="35"/>
      <c r="CH141" s="35"/>
      <c r="CI141" s="35"/>
      <c r="CJ141" s="35"/>
      <c r="CK141" s="35"/>
      <c r="CL141" s="35"/>
      <c r="CM141" s="35"/>
      <c r="CN141" s="35"/>
      <c r="CO141" s="35">
        <f>22780+(1090*6)</f>
        <v>29320</v>
      </c>
      <c r="CP141" s="35">
        <v>750</v>
      </c>
      <c r="CQ141" s="35">
        <f>683+(33*6)</f>
        <v>881</v>
      </c>
      <c r="CR141" s="35">
        <f t="shared" si="622"/>
        <v>30951</v>
      </c>
      <c r="CS141" s="35"/>
      <c r="CT141" s="35"/>
      <c r="CU141" s="35"/>
      <c r="CV141" s="35"/>
      <c r="CW141" s="35"/>
      <c r="CX141" s="35"/>
      <c r="CY141" s="35"/>
      <c r="CZ141" s="35"/>
      <c r="DA141" s="35"/>
      <c r="DB141" s="35">
        <f>22780+1200*6</f>
        <v>29980</v>
      </c>
      <c r="DC141" s="35">
        <v>750</v>
      </c>
      <c r="DD141" s="35">
        <f>683+36*6</f>
        <v>899</v>
      </c>
      <c r="DE141" s="35">
        <f t="shared" si="617"/>
        <v>31629</v>
      </c>
      <c r="DF141" s="35"/>
      <c r="DG141" s="35"/>
      <c r="DH141" s="35"/>
      <c r="DI141" s="35"/>
      <c r="DJ141" s="35"/>
      <c r="DK141" s="35"/>
      <c r="DL141" s="35"/>
      <c r="DM141" s="35"/>
      <c r="DN141" s="35"/>
      <c r="DO141" s="35">
        <v>22780</v>
      </c>
      <c r="DP141" s="35">
        <v>750</v>
      </c>
      <c r="DQ141" s="35">
        <v>683</v>
      </c>
      <c r="DR141" s="35">
        <f t="shared" si="623"/>
        <v>24213</v>
      </c>
      <c r="DS141" s="35">
        <f t="shared" si="624"/>
        <v>86793</v>
      </c>
      <c r="DT141" s="35"/>
      <c r="DU141" s="35"/>
      <c r="DV141" s="35"/>
      <c r="DW141" s="35"/>
      <c r="DX141" s="35"/>
      <c r="DY141" s="35"/>
      <c r="DZ141" s="35"/>
      <c r="EA141" s="35"/>
      <c r="EB141" s="35"/>
      <c r="EC141" s="35">
        <v>23980</v>
      </c>
      <c r="ED141" s="35">
        <v>750</v>
      </c>
      <c r="EE141" s="35">
        <v>719</v>
      </c>
      <c r="EF141" s="35">
        <f t="shared" si="625"/>
        <v>25449</v>
      </c>
      <c r="EG141" s="35"/>
      <c r="EH141" s="35"/>
      <c r="EI141" s="35"/>
      <c r="EJ141" s="35"/>
      <c r="EK141" s="35"/>
      <c r="EL141" s="35"/>
      <c r="EM141" s="35"/>
      <c r="EN141" s="35"/>
      <c r="EO141" s="35"/>
      <c r="EP141" s="35">
        <v>23980</v>
      </c>
      <c r="EQ141" s="35">
        <v>750</v>
      </c>
      <c r="ER141" s="35">
        <v>719</v>
      </c>
      <c r="ES141" s="35">
        <f t="shared" si="618"/>
        <v>25449</v>
      </c>
      <c r="ET141" s="35"/>
      <c r="EU141" s="35"/>
      <c r="EV141" s="35"/>
      <c r="EW141" s="35"/>
      <c r="EX141" s="35"/>
      <c r="EY141" s="35"/>
      <c r="EZ141" s="35"/>
      <c r="FA141" s="35"/>
      <c r="FB141" s="35"/>
      <c r="FC141" s="35">
        <v>23980</v>
      </c>
      <c r="FD141" s="35">
        <v>750</v>
      </c>
      <c r="FE141" s="35">
        <v>719</v>
      </c>
      <c r="FF141" s="35">
        <f t="shared" si="626"/>
        <v>25449</v>
      </c>
      <c r="FG141" s="35">
        <f t="shared" si="627"/>
        <v>76347</v>
      </c>
      <c r="FH141" s="35">
        <f t="shared" si="628"/>
        <v>301686</v>
      </c>
    </row>
    <row r="142" spans="1:164" x14ac:dyDescent="0.35">
      <c r="A142" s="34"/>
      <c r="B142" s="40"/>
      <c r="C142" s="41" t="s">
        <v>221</v>
      </c>
      <c r="D142" s="35"/>
      <c r="E142" s="35"/>
      <c r="F142" s="35"/>
      <c r="G142" s="35"/>
      <c r="H142" s="35"/>
      <c r="I142" s="35"/>
      <c r="J142" s="35">
        <v>28120</v>
      </c>
      <c r="K142" s="35">
        <v>750</v>
      </c>
      <c r="L142" s="35">
        <v>0</v>
      </c>
      <c r="M142" s="35"/>
      <c r="N142" s="35"/>
      <c r="O142" s="35"/>
      <c r="P142" s="35">
        <f t="shared" si="619"/>
        <v>28870</v>
      </c>
      <c r="Q142" s="35"/>
      <c r="R142" s="35"/>
      <c r="S142" s="35"/>
      <c r="T142" s="35"/>
      <c r="U142" s="35"/>
      <c r="V142" s="35"/>
      <c r="W142" s="35">
        <v>28120</v>
      </c>
      <c r="X142" s="35">
        <v>750</v>
      </c>
      <c r="Y142" s="35">
        <v>0</v>
      </c>
      <c r="Z142" s="35"/>
      <c r="AA142" s="35"/>
      <c r="AB142" s="35"/>
      <c r="AC142" s="35">
        <f t="shared" si="612"/>
        <v>28870</v>
      </c>
      <c r="AD142" s="35"/>
      <c r="AE142" s="35"/>
      <c r="AF142" s="35"/>
      <c r="AG142" s="35"/>
      <c r="AH142" s="35"/>
      <c r="AI142" s="35"/>
      <c r="AJ142" s="35">
        <v>28120</v>
      </c>
      <c r="AK142" s="35">
        <v>750</v>
      </c>
      <c r="AL142" s="35">
        <v>0</v>
      </c>
      <c r="AM142" s="35"/>
      <c r="AN142" s="35"/>
      <c r="AO142" s="35"/>
      <c r="AP142" s="35">
        <f t="shared" si="613"/>
        <v>28870</v>
      </c>
      <c r="AQ142" s="35">
        <f t="shared" si="614"/>
        <v>86610</v>
      </c>
      <c r="AR142" s="35"/>
      <c r="AS142" s="35"/>
      <c r="AT142" s="35"/>
      <c r="AU142" s="35"/>
      <c r="AV142" s="35"/>
      <c r="AW142" s="35"/>
      <c r="AX142" s="35">
        <v>28120</v>
      </c>
      <c r="AY142" s="35">
        <v>750</v>
      </c>
      <c r="AZ142" s="35">
        <v>0</v>
      </c>
      <c r="BA142" s="35"/>
      <c r="BB142" s="35"/>
      <c r="BC142" s="35"/>
      <c r="BD142" s="35">
        <f t="shared" si="620"/>
        <v>28870</v>
      </c>
      <c r="BE142" s="35"/>
      <c r="BF142" s="35"/>
      <c r="BG142" s="35"/>
      <c r="BH142" s="35"/>
      <c r="BI142" s="35"/>
      <c r="BJ142" s="35"/>
      <c r="BK142" s="35">
        <v>28120</v>
      </c>
      <c r="BL142" s="35">
        <v>750</v>
      </c>
      <c r="BM142" s="35">
        <v>0</v>
      </c>
      <c r="BN142" s="35"/>
      <c r="BO142" s="35"/>
      <c r="BP142" s="35"/>
      <c r="BQ142" s="35">
        <f t="shared" si="615"/>
        <v>28870</v>
      </c>
      <c r="BR142" s="35"/>
      <c r="BS142" s="35"/>
      <c r="BT142" s="35"/>
      <c r="BU142" s="35"/>
      <c r="BV142" s="35"/>
      <c r="BW142" s="35"/>
      <c r="BX142" s="35">
        <v>28120</v>
      </c>
      <c r="BY142" s="35">
        <v>750</v>
      </c>
      <c r="BZ142" s="35">
        <v>0</v>
      </c>
      <c r="CA142" s="35"/>
      <c r="CB142" s="35"/>
      <c r="CC142" s="35"/>
      <c r="CD142" s="35">
        <f t="shared" si="616"/>
        <v>28870</v>
      </c>
      <c r="CE142" s="35">
        <f t="shared" si="621"/>
        <v>86610</v>
      </c>
      <c r="CF142" s="35"/>
      <c r="CG142" s="35"/>
      <c r="CH142" s="35"/>
      <c r="CI142" s="35"/>
      <c r="CJ142" s="35"/>
      <c r="CK142" s="35"/>
      <c r="CL142" s="35">
        <f>29530+(1410*6)</f>
        <v>37990</v>
      </c>
      <c r="CM142" s="35">
        <v>750</v>
      </c>
      <c r="CN142" s="35">
        <v>0</v>
      </c>
      <c r="CO142" s="35"/>
      <c r="CP142" s="35"/>
      <c r="CQ142" s="35"/>
      <c r="CR142" s="35">
        <f t="shared" si="622"/>
        <v>38740</v>
      </c>
      <c r="CS142" s="35"/>
      <c r="CT142" s="35"/>
      <c r="CU142" s="35"/>
      <c r="CV142" s="35"/>
      <c r="CW142" s="35"/>
      <c r="CX142" s="35"/>
      <c r="CY142" s="35">
        <f>29530+11820+1620*6</f>
        <v>51070</v>
      </c>
      <c r="CZ142" s="35">
        <v>750</v>
      </c>
      <c r="DA142" s="35">
        <v>0</v>
      </c>
      <c r="DB142" s="35"/>
      <c r="DC142" s="35"/>
      <c r="DD142" s="35"/>
      <c r="DE142" s="35">
        <f t="shared" si="617"/>
        <v>51820</v>
      </c>
      <c r="DF142" s="35"/>
      <c r="DG142" s="35"/>
      <c r="DH142" s="35"/>
      <c r="DI142" s="35"/>
      <c r="DJ142" s="35"/>
      <c r="DK142" s="35"/>
      <c r="DL142" s="35">
        <v>29530</v>
      </c>
      <c r="DM142" s="35">
        <v>750</v>
      </c>
      <c r="DN142" s="35">
        <v>0</v>
      </c>
      <c r="DO142" s="35"/>
      <c r="DP142" s="35"/>
      <c r="DQ142" s="35"/>
      <c r="DR142" s="35">
        <f t="shared" si="623"/>
        <v>30280</v>
      </c>
      <c r="DS142" s="35">
        <f t="shared" si="624"/>
        <v>120840</v>
      </c>
      <c r="DT142" s="35"/>
      <c r="DU142" s="35"/>
      <c r="DV142" s="35"/>
      <c r="DW142" s="35"/>
      <c r="DX142" s="35"/>
      <c r="DY142" s="35"/>
      <c r="DZ142" s="35">
        <v>33120</v>
      </c>
      <c r="EA142" s="35">
        <v>750</v>
      </c>
      <c r="EB142" s="35">
        <v>0</v>
      </c>
      <c r="EC142" s="35"/>
      <c r="ED142" s="35"/>
      <c r="EE142" s="35"/>
      <c r="EF142" s="35">
        <f t="shared" si="625"/>
        <v>33870</v>
      </c>
      <c r="EG142" s="35"/>
      <c r="EH142" s="35"/>
      <c r="EI142" s="35"/>
      <c r="EJ142" s="35"/>
      <c r="EK142" s="35"/>
      <c r="EL142" s="35"/>
      <c r="EM142" s="35">
        <v>33120</v>
      </c>
      <c r="EN142" s="35">
        <v>750</v>
      </c>
      <c r="EO142" s="35">
        <v>0</v>
      </c>
      <c r="EP142" s="35"/>
      <c r="EQ142" s="35"/>
      <c r="ER142" s="35"/>
      <c r="ES142" s="35">
        <f t="shared" si="618"/>
        <v>33870</v>
      </c>
      <c r="ET142" s="35"/>
      <c r="EU142" s="35"/>
      <c r="EV142" s="35"/>
      <c r="EW142" s="35"/>
      <c r="EX142" s="35"/>
      <c r="EY142" s="35"/>
      <c r="EZ142" s="35">
        <v>33120</v>
      </c>
      <c r="FA142" s="35">
        <v>750</v>
      </c>
      <c r="FB142" s="35">
        <v>0</v>
      </c>
      <c r="FC142" s="35"/>
      <c r="FD142" s="35"/>
      <c r="FE142" s="35"/>
      <c r="FF142" s="35">
        <f t="shared" si="626"/>
        <v>33870</v>
      </c>
      <c r="FG142" s="35">
        <f t="shared" si="627"/>
        <v>101610</v>
      </c>
      <c r="FH142" s="35">
        <f t="shared" si="628"/>
        <v>395670</v>
      </c>
    </row>
    <row r="143" spans="1:164" x14ac:dyDescent="0.35">
      <c r="A143" s="34"/>
      <c r="B143" s="40"/>
      <c r="C143" s="41" t="s">
        <v>222</v>
      </c>
      <c r="D143" s="35">
        <v>22750</v>
      </c>
      <c r="E143" s="35">
        <v>750</v>
      </c>
      <c r="F143" s="35">
        <v>683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>
        <f t="shared" si="619"/>
        <v>24183</v>
      </c>
      <c r="Q143" s="35">
        <v>22750</v>
      </c>
      <c r="R143" s="35">
        <v>750</v>
      </c>
      <c r="S143" s="35">
        <v>683</v>
      </c>
      <c r="T143" s="35"/>
      <c r="U143" s="35"/>
      <c r="V143" s="35"/>
      <c r="W143" s="35"/>
      <c r="X143" s="35"/>
      <c r="Y143" s="35"/>
      <c r="Z143" s="35"/>
      <c r="AA143" s="35"/>
      <c r="AB143" s="35"/>
      <c r="AC143" s="35">
        <f t="shared" si="612"/>
        <v>24183</v>
      </c>
      <c r="AD143" s="35">
        <v>22750</v>
      </c>
      <c r="AE143" s="35">
        <v>750</v>
      </c>
      <c r="AF143" s="35">
        <v>683</v>
      </c>
      <c r="AG143" s="35"/>
      <c r="AH143" s="35"/>
      <c r="AI143" s="35"/>
      <c r="AJ143" s="35"/>
      <c r="AK143" s="35"/>
      <c r="AL143" s="35"/>
      <c r="AM143" s="35"/>
      <c r="AN143" s="35"/>
      <c r="AO143" s="35"/>
      <c r="AP143" s="35">
        <f t="shared" ref="AP143:AP147" si="926">SUM(AD143:AO143)</f>
        <v>24183</v>
      </c>
      <c r="AQ143" s="35">
        <f t="shared" si="614"/>
        <v>72549</v>
      </c>
      <c r="AR143" s="35">
        <v>22750</v>
      </c>
      <c r="AS143" s="35">
        <v>750</v>
      </c>
      <c r="AT143" s="35">
        <v>683</v>
      </c>
      <c r="AU143" s="35"/>
      <c r="AV143" s="35"/>
      <c r="AW143" s="35"/>
      <c r="AX143" s="35"/>
      <c r="AY143" s="35"/>
      <c r="AZ143" s="35"/>
      <c r="BA143" s="35"/>
      <c r="BB143" s="35"/>
      <c r="BC143" s="35"/>
      <c r="BD143" s="35">
        <f t="shared" ref="BD143:BD146" si="927">SUM(AR143:BC143)</f>
        <v>24183</v>
      </c>
      <c r="BE143" s="35">
        <v>22750</v>
      </c>
      <c r="BF143" s="35">
        <v>750</v>
      </c>
      <c r="BG143" s="35">
        <v>683</v>
      </c>
      <c r="BH143" s="35"/>
      <c r="BI143" s="35"/>
      <c r="BJ143" s="35"/>
      <c r="BK143" s="35"/>
      <c r="BL143" s="35"/>
      <c r="BM143" s="35"/>
      <c r="BN143" s="35"/>
      <c r="BO143" s="35"/>
      <c r="BP143" s="35"/>
      <c r="BQ143" s="35">
        <f t="shared" ref="BQ143:BQ146" si="928">SUM(BE143:BP143)</f>
        <v>24183</v>
      </c>
      <c r="BR143" s="35">
        <v>22750</v>
      </c>
      <c r="BS143" s="35">
        <v>750</v>
      </c>
      <c r="BT143" s="35">
        <v>683</v>
      </c>
      <c r="BU143" s="35"/>
      <c r="BV143" s="35"/>
      <c r="BW143" s="35"/>
      <c r="BX143" s="35"/>
      <c r="BY143" s="35"/>
      <c r="BZ143" s="35"/>
      <c r="CA143" s="35"/>
      <c r="CB143" s="35"/>
      <c r="CC143" s="35"/>
      <c r="CD143" s="35">
        <f t="shared" ref="CD143:CD147" si="929">SUM(BR143:CC143)</f>
        <v>24183</v>
      </c>
      <c r="CE143" s="35">
        <f t="shared" ref="CE143:CE146" si="930">+BD143+BQ143+CD143</f>
        <v>72549</v>
      </c>
      <c r="CF143" s="35">
        <f>23890+(1140*6)</f>
        <v>30730</v>
      </c>
      <c r="CG143" s="35">
        <v>750</v>
      </c>
      <c r="CH143" s="35">
        <f>717+(34*6)</f>
        <v>921</v>
      </c>
      <c r="CI143" s="35"/>
      <c r="CJ143" s="35"/>
      <c r="CK143" s="35"/>
      <c r="CL143" s="35"/>
      <c r="CM143" s="35"/>
      <c r="CN143" s="35"/>
      <c r="CO143" s="35"/>
      <c r="CP143" s="35"/>
      <c r="CQ143" s="35"/>
      <c r="CR143" s="35">
        <f t="shared" ref="CR143:CR146" si="931">SUM(CF143:CQ143)</f>
        <v>32401</v>
      </c>
      <c r="CS143" s="35">
        <f>23890+14160+1050*6</f>
        <v>44350</v>
      </c>
      <c r="CT143" s="35">
        <v>750</v>
      </c>
      <c r="CU143" s="35">
        <f>717+426+32*6</f>
        <v>1335</v>
      </c>
      <c r="CV143" s="35"/>
      <c r="CW143" s="35"/>
      <c r="CX143" s="35"/>
      <c r="CY143" s="35"/>
      <c r="CZ143" s="35"/>
      <c r="DA143" s="35"/>
      <c r="DB143" s="35"/>
      <c r="DC143" s="35"/>
      <c r="DD143" s="35"/>
      <c r="DE143" s="35">
        <f t="shared" ref="DE143:DE146" si="932">SUM(CS143:DD143)</f>
        <v>46435</v>
      </c>
      <c r="DF143" s="35">
        <v>23890</v>
      </c>
      <c r="DG143" s="35">
        <v>750</v>
      </c>
      <c r="DH143" s="35">
        <v>717</v>
      </c>
      <c r="DI143" s="35"/>
      <c r="DJ143" s="35"/>
      <c r="DK143" s="35"/>
      <c r="DL143" s="35"/>
      <c r="DM143" s="35"/>
      <c r="DN143" s="35"/>
      <c r="DO143" s="35"/>
      <c r="DP143" s="35"/>
      <c r="DQ143" s="35"/>
      <c r="DR143" s="35">
        <f t="shared" ref="DR143:DR147" si="933">SUM(DF143:DQ143)</f>
        <v>25357</v>
      </c>
      <c r="DS143" s="35">
        <f t="shared" ref="DS143:DS146" si="934">+CR143+DE143+DR143</f>
        <v>104193</v>
      </c>
      <c r="DT143" s="35">
        <v>27300</v>
      </c>
      <c r="DU143" s="35">
        <v>750</v>
      </c>
      <c r="DV143" s="35">
        <v>819</v>
      </c>
      <c r="DW143" s="35"/>
      <c r="DX143" s="35"/>
      <c r="DY143" s="35"/>
      <c r="DZ143" s="35"/>
      <c r="EA143" s="35"/>
      <c r="EB143" s="35"/>
      <c r="EC143" s="35"/>
      <c r="ED143" s="35"/>
      <c r="EE143" s="35"/>
      <c r="EF143" s="35">
        <f t="shared" ref="EF143:EF146" si="935">SUM(DT143:EE143)</f>
        <v>28869</v>
      </c>
      <c r="EG143" s="35">
        <v>27300</v>
      </c>
      <c r="EH143" s="35">
        <v>750</v>
      </c>
      <c r="EI143" s="35">
        <v>819</v>
      </c>
      <c r="EJ143" s="35"/>
      <c r="EK143" s="35"/>
      <c r="EL143" s="35"/>
      <c r="EM143" s="35"/>
      <c r="EN143" s="35"/>
      <c r="EO143" s="35"/>
      <c r="EP143" s="35"/>
      <c r="EQ143" s="35"/>
      <c r="ER143" s="35"/>
      <c r="ES143" s="35">
        <f t="shared" ref="ES143:ES146" si="936">SUM(EG143:ER143)</f>
        <v>28869</v>
      </c>
      <c r="ET143" s="35">
        <v>27300</v>
      </c>
      <c r="EU143" s="35">
        <v>750</v>
      </c>
      <c r="EV143" s="35">
        <v>819</v>
      </c>
      <c r="EW143" s="35"/>
      <c r="EX143" s="35"/>
      <c r="EY143" s="35"/>
      <c r="EZ143" s="35"/>
      <c r="FA143" s="35"/>
      <c r="FB143" s="35"/>
      <c r="FC143" s="35"/>
      <c r="FD143" s="35"/>
      <c r="FE143" s="35"/>
      <c r="FF143" s="35">
        <f t="shared" ref="FF143:FF147" si="937">SUM(ET143:FE143)</f>
        <v>28869</v>
      </c>
      <c r="FG143" s="35">
        <f t="shared" ref="FG143:FG146" si="938">+EF143+ES143+FF143</f>
        <v>86607</v>
      </c>
      <c r="FH143" s="35">
        <f t="shared" ref="FH143:FH147" si="939">+AQ143+CE143+DS143+FG143</f>
        <v>335898</v>
      </c>
    </row>
    <row r="144" spans="1:164" x14ac:dyDescent="0.35">
      <c r="A144" s="34"/>
      <c r="B144" s="40"/>
      <c r="C144" s="41" t="s">
        <v>266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>
        <f t="shared" ref="P144:P145" si="940">SUM(D144:O144)</f>
        <v>0</v>
      </c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>
        <f t="shared" ref="AC144:AC145" si="941">SUM(Q144:AB144)</f>
        <v>0</v>
      </c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>
        <f t="shared" ref="AP144:AP145" si="942">SUM(AD144:AO144)</f>
        <v>0</v>
      </c>
      <c r="AQ144" s="35">
        <f t="shared" ref="AQ144:AQ145" si="943">+P144+AC144+AP144</f>
        <v>0</v>
      </c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>
        <f t="shared" ref="BD144:BD145" si="944">SUM(AR144:BC144)</f>
        <v>0</v>
      </c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>
        <f t="shared" ref="BQ144:BQ145" si="945">SUM(BE144:BP144)</f>
        <v>0</v>
      </c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>
        <f t="shared" ref="CD144:CD145" si="946">SUM(BR144:CC144)</f>
        <v>0</v>
      </c>
      <c r="CE144" s="35">
        <f t="shared" ref="CE144:CE145" si="947">+BD144+BQ144+CD144</f>
        <v>0</v>
      </c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>
        <f t="shared" ref="CR144:CR145" si="948">SUM(CF144:CQ144)</f>
        <v>0</v>
      </c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>
        <f t="shared" ref="DE144:DE145" si="949">SUM(CS144:DD144)</f>
        <v>0</v>
      </c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>
        <f t="shared" ref="DR144:DR145" si="950">SUM(DF144:DQ144)</f>
        <v>0</v>
      </c>
      <c r="DS144" s="35">
        <f t="shared" ref="DS144:DS145" si="951">+CR144+DE144+DR144</f>
        <v>0</v>
      </c>
      <c r="DT144" s="35">
        <v>31500</v>
      </c>
      <c r="DU144" s="35">
        <v>750</v>
      </c>
      <c r="DV144" s="35">
        <v>0</v>
      </c>
      <c r="DW144" s="35"/>
      <c r="DX144" s="35"/>
      <c r="DY144" s="35"/>
      <c r="DZ144" s="35"/>
      <c r="EA144" s="35"/>
      <c r="EB144" s="35"/>
      <c r="EC144" s="35"/>
      <c r="ED144" s="35"/>
      <c r="EE144" s="35"/>
      <c r="EF144" s="35">
        <f t="shared" ref="EF144:EF145" si="952">SUM(DT144:EE144)</f>
        <v>32250</v>
      </c>
      <c r="EG144" s="35">
        <f>10161.29+31500+31500</f>
        <v>73161.290000000008</v>
      </c>
      <c r="EH144" s="35">
        <f>508+750+750</f>
        <v>2008</v>
      </c>
      <c r="EI144" s="35">
        <v>0</v>
      </c>
      <c r="EJ144" s="35"/>
      <c r="EK144" s="35"/>
      <c r="EL144" s="35"/>
      <c r="EM144" s="35"/>
      <c r="EN144" s="35"/>
      <c r="EO144" s="35"/>
      <c r="EP144" s="35"/>
      <c r="EQ144" s="35"/>
      <c r="ER144" s="35"/>
      <c r="ES144" s="35">
        <f t="shared" ref="ES144:ES145" si="953">SUM(EG144:ER144)</f>
        <v>75169.290000000008</v>
      </c>
      <c r="ET144" s="35">
        <v>31500</v>
      </c>
      <c r="EU144" s="35">
        <v>750</v>
      </c>
      <c r="EV144" s="35">
        <v>0</v>
      </c>
      <c r="EW144" s="35"/>
      <c r="EX144" s="35"/>
      <c r="EY144" s="35"/>
      <c r="EZ144" s="35"/>
      <c r="FA144" s="35"/>
      <c r="FB144" s="35"/>
      <c r="FC144" s="35"/>
      <c r="FD144" s="35"/>
      <c r="FE144" s="35"/>
      <c r="FF144" s="35">
        <f t="shared" ref="FF144:FF145" si="954">SUM(ET144:FE144)</f>
        <v>32250</v>
      </c>
      <c r="FG144" s="35">
        <f t="shared" ref="FG144:FG145" si="955">+EF144+ES144+FF144</f>
        <v>139669.29</v>
      </c>
      <c r="FH144" s="35">
        <f t="shared" ref="FH144:FH145" si="956">+AQ144+CE144+DS144+FG144</f>
        <v>139669.29</v>
      </c>
    </row>
    <row r="145" spans="1:164" x14ac:dyDescent="0.35">
      <c r="A145" s="34"/>
      <c r="B145" s="40"/>
      <c r="C145" s="41" t="s">
        <v>267</v>
      </c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>
        <f t="shared" si="940"/>
        <v>0</v>
      </c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>
        <f t="shared" si="941"/>
        <v>0</v>
      </c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>
        <f t="shared" si="942"/>
        <v>0</v>
      </c>
      <c r="AQ145" s="35">
        <f t="shared" si="943"/>
        <v>0</v>
      </c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>
        <f t="shared" si="944"/>
        <v>0</v>
      </c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>
        <f t="shared" si="945"/>
        <v>0</v>
      </c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>
        <f t="shared" si="946"/>
        <v>0</v>
      </c>
      <c r="CE145" s="35">
        <f t="shared" si="947"/>
        <v>0</v>
      </c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>
        <f t="shared" si="948"/>
        <v>0</v>
      </c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>
        <f t="shared" si="949"/>
        <v>0</v>
      </c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>
        <f t="shared" si="950"/>
        <v>0</v>
      </c>
      <c r="DS145" s="35">
        <f t="shared" si="951"/>
        <v>0</v>
      </c>
      <c r="DT145" s="35"/>
      <c r="DU145" s="35"/>
      <c r="DV145" s="35"/>
      <c r="DW145" s="35"/>
      <c r="DX145" s="35"/>
      <c r="DY145" s="35"/>
      <c r="DZ145" s="35">
        <v>31500</v>
      </c>
      <c r="EA145" s="35">
        <v>750</v>
      </c>
      <c r="EB145" s="35">
        <v>0</v>
      </c>
      <c r="EC145" s="35"/>
      <c r="ED145" s="35"/>
      <c r="EE145" s="35"/>
      <c r="EF145" s="35">
        <f t="shared" si="952"/>
        <v>32250</v>
      </c>
      <c r="EG145" s="35"/>
      <c r="EH145" s="35"/>
      <c r="EI145" s="35"/>
      <c r="EJ145" s="35"/>
      <c r="EK145" s="35"/>
      <c r="EL145" s="35"/>
      <c r="EM145" s="35">
        <f>14700+31500+31500+31500</f>
        <v>109200</v>
      </c>
      <c r="EN145" s="35">
        <f>735+750+750+750</f>
        <v>2985</v>
      </c>
      <c r="EO145" s="35"/>
      <c r="EP145" s="35"/>
      <c r="EQ145" s="35"/>
      <c r="ER145" s="35"/>
      <c r="ES145" s="35">
        <f t="shared" si="953"/>
        <v>112185</v>
      </c>
      <c r="ET145" s="35"/>
      <c r="EU145" s="35"/>
      <c r="EV145" s="35"/>
      <c r="EW145" s="35"/>
      <c r="EX145" s="35"/>
      <c r="EY145" s="35"/>
      <c r="EZ145" s="35">
        <v>31500</v>
      </c>
      <c r="FA145" s="35">
        <v>750</v>
      </c>
      <c r="FB145" s="35">
        <v>0</v>
      </c>
      <c r="FC145" s="35"/>
      <c r="FD145" s="35"/>
      <c r="FE145" s="35"/>
      <c r="FF145" s="35">
        <f t="shared" si="954"/>
        <v>32250</v>
      </c>
      <c r="FG145" s="35">
        <f t="shared" si="955"/>
        <v>176685</v>
      </c>
      <c r="FH145" s="35">
        <f t="shared" si="956"/>
        <v>176685</v>
      </c>
    </row>
    <row r="146" spans="1:164" x14ac:dyDescent="0.35">
      <c r="A146" s="34"/>
      <c r="B146" s="40"/>
      <c r="C146" s="41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>
        <f t="shared" si="619"/>
        <v>0</v>
      </c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>
        <f t="shared" si="612"/>
        <v>0</v>
      </c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>
        <f t="shared" si="926"/>
        <v>0</v>
      </c>
      <c r="AQ146" s="35">
        <f t="shared" si="614"/>
        <v>0</v>
      </c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>
        <f t="shared" si="927"/>
        <v>0</v>
      </c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>
        <f t="shared" si="928"/>
        <v>0</v>
      </c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>
        <f t="shared" si="929"/>
        <v>0</v>
      </c>
      <c r="CE146" s="35">
        <f t="shared" si="930"/>
        <v>0</v>
      </c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>
        <f t="shared" si="931"/>
        <v>0</v>
      </c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>
        <f t="shared" si="932"/>
        <v>0</v>
      </c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>
        <f t="shared" si="933"/>
        <v>0</v>
      </c>
      <c r="DS146" s="35">
        <f t="shared" si="934"/>
        <v>0</v>
      </c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>
        <f t="shared" si="935"/>
        <v>0</v>
      </c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>
        <f t="shared" si="936"/>
        <v>0</v>
      </c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>
        <f t="shared" si="937"/>
        <v>0</v>
      </c>
      <c r="FG146" s="35">
        <f t="shared" si="938"/>
        <v>0</v>
      </c>
      <c r="FH146" s="35">
        <f t="shared" si="939"/>
        <v>0</v>
      </c>
    </row>
    <row r="147" spans="1:164" x14ac:dyDescent="0.35">
      <c r="A147" s="48"/>
      <c r="B147" s="49" t="s">
        <v>27</v>
      </c>
      <c r="C147" s="50"/>
      <c r="D147" s="51">
        <f>SUM(D127:D146)</f>
        <v>227120</v>
      </c>
      <c r="E147" s="51">
        <f t="shared" ref="E147:O147" si="957">SUM(E127:E146)</f>
        <v>6000</v>
      </c>
      <c r="F147" s="51">
        <f t="shared" si="957"/>
        <v>6816</v>
      </c>
      <c r="G147" s="51">
        <f t="shared" si="957"/>
        <v>44330</v>
      </c>
      <c r="H147" s="51">
        <f t="shared" si="957"/>
        <v>1500</v>
      </c>
      <c r="I147" s="51">
        <f t="shared" si="957"/>
        <v>1330</v>
      </c>
      <c r="J147" s="51">
        <f t="shared" si="957"/>
        <v>142630</v>
      </c>
      <c r="K147" s="51">
        <f t="shared" si="957"/>
        <v>3750</v>
      </c>
      <c r="L147" s="51">
        <f>SUM(L127:L146)</f>
        <v>3436</v>
      </c>
      <c r="M147" s="51">
        <f t="shared" si="957"/>
        <v>43860</v>
      </c>
      <c r="N147" s="51">
        <f t="shared" si="957"/>
        <v>1500</v>
      </c>
      <c r="O147" s="51">
        <f t="shared" si="957"/>
        <v>1316</v>
      </c>
      <c r="P147" s="51">
        <f t="shared" si="619"/>
        <v>483588</v>
      </c>
      <c r="Q147" s="51">
        <f>SUM(Q127:Q146)</f>
        <v>227120</v>
      </c>
      <c r="R147" s="51">
        <f t="shared" ref="R147" si="958">SUM(R127:R146)</f>
        <v>6000</v>
      </c>
      <c r="S147" s="51">
        <f t="shared" ref="S147" si="959">SUM(S127:S146)</f>
        <v>6816</v>
      </c>
      <c r="T147" s="51">
        <f t="shared" ref="T147" si="960">SUM(T127:T146)</f>
        <v>44330</v>
      </c>
      <c r="U147" s="51">
        <f t="shared" ref="U147" si="961">SUM(U127:U146)</f>
        <v>1500</v>
      </c>
      <c r="V147" s="51">
        <f t="shared" ref="V147" si="962">SUM(V127:V146)</f>
        <v>1330</v>
      </c>
      <c r="W147" s="51">
        <f t="shared" ref="W147" si="963">SUM(W127:W146)</f>
        <v>142630</v>
      </c>
      <c r="X147" s="51">
        <f t="shared" ref="X147" si="964">SUM(X127:X146)</f>
        <v>3750</v>
      </c>
      <c r="Y147" s="51">
        <f t="shared" ref="Y147" si="965">SUM(Y127:Y146)</f>
        <v>3436</v>
      </c>
      <c r="Z147" s="51">
        <f t="shared" ref="Z147" si="966">SUM(Z127:Z146)</f>
        <v>43860</v>
      </c>
      <c r="AA147" s="51">
        <f t="shared" ref="AA147" si="967">SUM(AA127:AA146)</f>
        <v>1500</v>
      </c>
      <c r="AB147" s="51">
        <f t="shared" ref="AB147" si="968">SUM(AB127:AB146)</f>
        <v>1316</v>
      </c>
      <c r="AC147" s="51">
        <f t="shared" si="612"/>
        <v>483588</v>
      </c>
      <c r="AD147" s="51">
        <f>SUM(AD127:AD146)</f>
        <v>227120</v>
      </c>
      <c r="AE147" s="51">
        <f t="shared" ref="AE147" si="969">SUM(AE127:AE146)</f>
        <v>6000</v>
      </c>
      <c r="AF147" s="51">
        <f t="shared" ref="AF147" si="970">SUM(AF127:AF146)</f>
        <v>6816</v>
      </c>
      <c r="AG147" s="51">
        <f t="shared" ref="AG147" si="971">SUM(AG127:AG146)</f>
        <v>44330</v>
      </c>
      <c r="AH147" s="51">
        <f t="shared" ref="AH147" si="972">SUM(AH127:AH146)</f>
        <v>1500</v>
      </c>
      <c r="AI147" s="51">
        <f t="shared" ref="AI147" si="973">SUM(AI127:AI146)</f>
        <v>1330</v>
      </c>
      <c r="AJ147" s="51">
        <f t="shared" ref="AJ147" si="974">SUM(AJ127:AJ146)</f>
        <v>142630</v>
      </c>
      <c r="AK147" s="51">
        <f t="shared" ref="AK147" si="975">SUM(AK127:AK146)</f>
        <v>3750</v>
      </c>
      <c r="AL147" s="51">
        <f t="shared" ref="AL147" si="976">SUM(AL127:AL146)</f>
        <v>3436</v>
      </c>
      <c r="AM147" s="51">
        <f t="shared" ref="AM147" si="977">SUM(AM127:AM146)</f>
        <v>43860</v>
      </c>
      <c r="AN147" s="51">
        <f t="shared" ref="AN147" si="978">SUM(AN127:AN146)</f>
        <v>1500</v>
      </c>
      <c r="AO147" s="51">
        <f t="shared" ref="AO147" si="979">SUM(AO127:AO146)</f>
        <v>1316</v>
      </c>
      <c r="AP147" s="51">
        <f t="shared" si="926"/>
        <v>483588</v>
      </c>
      <c r="AQ147" s="51">
        <f t="shared" si="614"/>
        <v>1450764</v>
      </c>
      <c r="AR147" s="51">
        <f>SUM(AR127:AR146)</f>
        <v>227120</v>
      </c>
      <c r="AS147" s="51">
        <f t="shared" ref="AS147" si="980">SUM(AS127:AS146)</f>
        <v>6000</v>
      </c>
      <c r="AT147" s="51">
        <f t="shared" ref="AT147" si="981">SUM(AT127:AT146)</f>
        <v>6816</v>
      </c>
      <c r="AU147" s="51">
        <f t="shared" ref="AU147" si="982">SUM(AU127:AU146)</f>
        <v>44330</v>
      </c>
      <c r="AV147" s="51">
        <f t="shared" ref="AV147" si="983">SUM(AV127:AV146)</f>
        <v>1500</v>
      </c>
      <c r="AW147" s="51">
        <f t="shared" ref="AW147" si="984">SUM(AW127:AW146)</f>
        <v>1330</v>
      </c>
      <c r="AX147" s="51">
        <f t="shared" ref="AX147" si="985">SUM(AX127:AX146)</f>
        <v>142630</v>
      </c>
      <c r="AY147" s="51">
        <f t="shared" ref="AY147" si="986">SUM(AY127:AY146)</f>
        <v>3750</v>
      </c>
      <c r="AZ147" s="51">
        <f t="shared" ref="AZ147" si="987">SUM(AZ127:AZ146)</f>
        <v>3436</v>
      </c>
      <c r="BA147" s="51">
        <f t="shared" ref="BA147" si="988">SUM(BA127:BA146)</f>
        <v>43860</v>
      </c>
      <c r="BB147" s="51">
        <f t="shared" ref="BB147" si="989">SUM(BB127:BB146)</f>
        <v>1500</v>
      </c>
      <c r="BC147" s="51">
        <f t="shared" ref="BC147" si="990">SUM(BC127:BC146)</f>
        <v>1316</v>
      </c>
      <c r="BD147" s="51">
        <f>SUM(AR147:BC147)</f>
        <v>483588</v>
      </c>
      <c r="BE147" s="51">
        <f>SUM(BE127:BE146)</f>
        <v>227120</v>
      </c>
      <c r="BF147" s="51">
        <f t="shared" ref="BF147" si="991">SUM(BF127:BF146)</f>
        <v>6000</v>
      </c>
      <c r="BG147" s="51">
        <f t="shared" ref="BG147" si="992">SUM(BG127:BG146)</f>
        <v>6816</v>
      </c>
      <c r="BH147" s="51">
        <f t="shared" ref="BH147" si="993">SUM(BH127:BH146)</f>
        <v>44330</v>
      </c>
      <c r="BI147" s="51">
        <f t="shared" ref="BI147" si="994">SUM(BI127:BI146)</f>
        <v>1500</v>
      </c>
      <c r="BJ147" s="51">
        <f t="shared" ref="BJ147" si="995">SUM(BJ127:BJ146)</f>
        <v>1330</v>
      </c>
      <c r="BK147" s="51">
        <f t="shared" ref="BK147" si="996">SUM(BK127:BK146)</f>
        <v>142630</v>
      </c>
      <c r="BL147" s="51">
        <f t="shared" ref="BL147" si="997">SUM(BL127:BL146)</f>
        <v>3750</v>
      </c>
      <c r="BM147" s="51">
        <f t="shared" ref="BM147" si="998">SUM(BM127:BM146)</f>
        <v>3436</v>
      </c>
      <c r="BN147" s="51">
        <f t="shared" ref="BN147" si="999">SUM(BN127:BN146)</f>
        <v>43860</v>
      </c>
      <c r="BO147" s="51">
        <f t="shared" ref="BO147" si="1000">SUM(BO127:BO146)</f>
        <v>1500</v>
      </c>
      <c r="BP147" s="51">
        <f t="shared" ref="BP147" si="1001">SUM(BP127:BP146)</f>
        <v>1316</v>
      </c>
      <c r="BQ147" s="51">
        <f>SUM(BE147:BP147)</f>
        <v>483588</v>
      </c>
      <c r="BR147" s="51">
        <f>SUM(BR127:BR146)</f>
        <v>227120</v>
      </c>
      <c r="BS147" s="51">
        <f t="shared" ref="BS147" si="1002">SUM(BS127:BS146)</f>
        <v>6000</v>
      </c>
      <c r="BT147" s="51">
        <f t="shared" ref="BT147" si="1003">SUM(BT127:BT146)</f>
        <v>6816</v>
      </c>
      <c r="BU147" s="51">
        <f t="shared" ref="BU147" si="1004">SUM(BU127:BU146)</f>
        <v>44330</v>
      </c>
      <c r="BV147" s="51">
        <f t="shared" ref="BV147" si="1005">SUM(BV127:BV146)</f>
        <v>1500</v>
      </c>
      <c r="BW147" s="51">
        <f t="shared" ref="BW147" si="1006">SUM(BW127:BW146)</f>
        <v>1330</v>
      </c>
      <c r="BX147" s="51">
        <f t="shared" ref="BX147" si="1007">SUM(BX127:BX146)</f>
        <v>142630</v>
      </c>
      <c r="BY147" s="51">
        <f t="shared" ref="BY147" si="1008">SUM(BY127:BY146)</f>
        <v>3750</v>
      </c>
      <c r="BZ147" s="51">
        <f t="shared" ref="BZ147" si="1009">SUM(BZ127:BZ146)</f>
        <v>3436</v>
      </c>
      <c r="CA147" s="51">
        <f t="shared" ref="CA147" si="1010">SUM(CA127:CA146)</f>
        <v>43860</v>
      </c>
      <c r="CB147" s="51">
        <f t="shared" ref="CB147" si="1011">SUM(CB127:CB146)</f>
        <v>1500</v>
      </c>
      <c r="CC147" s="51">
        <f t="shared" ref="CC147" si="1012">SUM(CC127:CC146)</f>
        <v>1316</v>
      </c>
      <c r="CD147" s="51">
        <f t="shared" si="929"/>
        <v>483588</v>
      </c>
      <c r="CE147" s="51">
        <f>+BD147+BQ147+CD147</f>
        <v>1450764</v>
      </c>
      <c r="CF147" s="51">
        <f>SUM(CF127:CF146)</f>
        <v>304750</v>
      </c>
      <c r="CG147" s="51">
        <f t="shared" ref="CG147" si="1013">SUM(CG127:CG146)</f>
        <v>6000</v>
      </c>
      <c r="CH147" s="51">
        <f t="shared" ref="CH147" si="1014">SUM(CH127:CH146)</f>
        <v>9151</v>
      </c>
      <c r="CI147" s="51">
        <f t="shared" ref="CI147" si="1015">SUM(CI127:CI146)</f>
        <v>59870</v>
      </c>
      <c r="CJ147" s="51">
        <f t="shared" ref="CJ147" si="1016">SUM(CJ127:CJ146)</f>
        <v>1500</v>
      </c>
      <c r="CK147" s="51">
        <f t="shared" ref="CK147" si="1017">SUM(CK127:CK146)</f>
        <v>1792</v>
      </c>
      <c r="CL147" s="51">
        <f t="shared" ref="CL147" si="1018">SUM(CL127:CL146)</f>
        <v>192610</v>
      </c>
      <c r="CM147" s="51">
        <f t="shared" ref="CM147" si="1019">SUM(CM127:CM146)</f>
        <v>3750</v>
      </c>
      <c r="CN147" s="51">
        <f t="shared" ref="CN147" si="1020">SUM(CN127:CN146)</f>
        <v>4646</v>
      </c>
      <c r="CO147" s="51">
        <f t="shared" ref="CO147" si="1021">SUM(CO127:CO146)</f>
        <v>59260</v>
      </c>
      <c r="CP147" s="51">
        <f t="shared" ref="CP147" si="1022">SUM(CP127:CP146)</f>
        <v>1500</v>
      </c>
      <c r="CQ147" s="51">
        <f t="shared" ref="CQ147" si="1023">SUM(CQ127:CQ146)</f>
        <v>1777</v>
      </c>
      <c r="CR147" s="51">
        <f>SUM(CF147:CQ147)</f>
        <v>646606</v>
      </c>
      <c r="CS147" s="51">
        <f>SUM(CS127:CS146)</f>
        <v>379630</v>
      </c>
      <c r="CT147" s="51">
        <f t="shared" ref="CT147" si="1024">SUM(CT127:CT146)</f>
        <v>6000</v>
      </c>
      <c r="CU147" s="51">
        <f t="shared" ref="CU147" si="1025">SUM(CU127:CU146)</f>
        <v>11395</v>
      </c>
      <c r="CV147" s="51">
        <f t="shared" ref="CV147" si="1026">SUM(CV127:CV146)</f>
        <v>60950</v>
      </c>
      <c r="CW147" s="51">
        <f t="shared" ref="CW147" si="1027">SUM(CW127:CW146)</f>
        <v>1500</v>
      </c>
      <c r="CX147" s="51">
        <f t="shared" ref="CX147" si="1028">SUM(CX127:CX146)</f>
        <v>1828</v>
      </c>
      <c r="CY147" s="51">
        <f t="shared" ref="CY147" si="1029">SUM(CY127:CY146)</f>
        <v>238510</v>
      </c>
      <c r="CZ147" s="51">
        <f t="shared" ref="CZ147" si="1030">SUM(CZ127:CZ146)</f>
        <v>3750</v>
      </c>
      <c r="DA147" s="51">
        <f t="shared" ref="DA147" si="1031">SUM(DA127:DA146)</f>
        <v>5624</v>
      </c>
      <c r="DB147" s="51">
        <f t="shared" ref="DB147" si="1032">SUM(DB127:DB146)</f>
        <v>60460</v>
      </c>
      <c r="DC147" s="51">
        <f t="shared" ref="DC147" si="1033">SUM(DC127:DC146)</f>
        <v>1500</v>
      </c>
      <c r="DD147" s="51">
        <f t="shared" ref="DD147" si="1034">SUM(DD127:DD146)</f>
        <v>1813</v>
      </c>
      <c r="DE147" s="51">
        <f>SUM(CS147:DD147)</f>
        <v>772960</v>
      </c>
      <c r="DF147" s="51">
        <f>SUM(DF127:DF146)</f>
        <v>238210</v>
      </c>
      <c r="DG147" s="51">
        <f t="shared" ref="DG147" si="1035">SUM(DG127:DG146)</f>
        <v>6000</v>
      </c>
      <c r="DH147" s="51">
        <f t="shared" ref="DH147" si="1036">SUM(DH127:DH146)</f>
        <v>7147</v>
      </c>
      <c r="DI147" s="51">
        <f t="shared" ref="DI147" si="1037">SUM(DI127:DI146)</f>
        <v>46550</v>
      </c>
      <c r="DJ147" s="51">
        <f t="shared" ref="DJ147" si="1038">SUM(DJ127:DJ146)</f>
        <v>1500</v>
      </c>
      <c r="DK147" s="51">
        <f t="shared" ref="DK147" si="1039">SUM(DK127:DK146)</f>
        <v>1396</v>
      </c>
      <c r="DL147" s="51">
        <f t="shared" ref="DL147" si="1040">SUM(DL127:DL146)</f>
        <v>149770</v>
      </c>
      <c r="DM147" s="51">
        <f t="shared" ref="DM147" si="1041">SUM(DM127:DM146)</f>
        <v>3750</v>
      </c>
      <c r="DN147" s="51">
        <f t="shared" ref="DN147" si="1042">SUM(DN127:DN146)</f>
        <v>3608</v>
      </c>
      <c r="DO147" s="51">
        <f t="shared" ref="DO147" si="1043">SUM(DO127:DO146)</f>
        <v>46060</v>
      </c>
      <c r="DP147" s="51">
        <f t="shared" ref="DP147" si="1044">SUM(DP127:DP146)</f>
        <v>1500</v>
      </c>
      <c r="DQ147" s="51">
        <f t="shared" ref="DQ147" si="1045">SUM(DQ127:DQ146)</f>
        <v>1381</v>
      </c>
      <c r="DR147" s="51">
        <f t="shared" si="933"/>
        <v>506872</v>
      </c>
      <c r="DS147" s="51">
        <f>+CR147+DE147+DR147</f>
        <v>1926438</v>
      </c>
      <c r="DT147" s="51">
        <f>SUM(DT127:DT146)</f>
        <v>293280</v>
      </c>
      <c r="DU147" s="51">
        <f t="shared" ref="DU147" si="1046">SUM(DU127:DU146)</f>
        <v>6750</v>
      </c>
      <c r="DV147" s="51">
        <f t="shared" ref="DV147" si="1047">SUM(DV127:DV146)</f>
        <v>7854</v>
      </c>
      <c r="DW147" s="51">
        <f t="shared" ref="DW147" si="1048">SUM(DW127:DW146)</f>
        <v>48950</v>
      </c>
      <c r="DX147" s="51">
        <f t="shared" ref="DX147" si="1049">SUM(DX127:DX146)</f>
        <v>1500</v>
      </c>
      <c r="DY147" s="51">
        <f t="shared" ref="DY147" si="1050">SUM(DY127:DY146)</f>
        <v>1468</v>
      </c>
      <c r="DZ147" s="51">
        <f t="shared" ref="DZ147" si="1051">SUM(DZ127:DZ146)</f>
        <v>196060</v>
      </c>
      <c r="EA147" s="51">
        <f t="shared" ref="EA147" si="1052">SUM(EA127:EA146)</f>
        <v>4500</v>
      </c>
      <c r="EB147" s="51">
        <f t="shared" ref="EB147" si="1053">SUM(EB127:EB146)</f>
        <v>3944</v>
      </c>
      <c r="EC147" s="51">
        <f t="shared" ref="EC147" si="1054">SUM(EC127:EC146)</f>
        <v>48460</v>
      </c>
      <c r="ED147" s="51">
        <f t="shared" ref="ED147" si="1055">SUM(ED127:ED146)</f>
        <v>1500</v>
      </c>
      <c r="EE147" s="51">
        <f t="shared" ref="EE147" si="1056">SUM(EE127:EE146)</f>
        <v>1453</v>
      </c>
      <c r="EF147" s="51">
        <f>SUM(DT147:EE147)</f>
        <v>615719</v>
      </c>
      <c r="EG147" s="51">
        <f>SUM(EG127:EG146)</f>
        <v>334941.29000000004</v>
      </c>
      <c r="EH147" s="51">
        <f t="shared" ref="EH147" si="1057">SUM(EH127:EH146)</f>
        <v>8008</v>
      </c>
      <c r="EI147" s="51">
        <f t="shared" ref="EI147" si="1058">SUM(EI127:EI146)</f>
        <v>7854</v>
      </c>
      <c r="EJ147" s="51">
        <f t="shared" ref="EJ147" si="1059">SUM(EJ127:EJ146)</f>
        <v>48950</v>
      </c>
      <c r="EK147" s="51">
        <f t="shared" ref="EK147" si="1060">SUM(EK127:EK146)</f>
        <v>1500</v>
      </c>
      <c r="EL147" s="51">
        <f t="shared" ref="EL147" si="1061">SUM(EL127:EL146)</f>
        <v>1468</v>
      </c>
      <c r="EM147" s="51">
        <f t="shared" ref="EM147" si="1062">SUM(EM127:EM146)</f>
        <v>273760</v>
      </c>
      <c r="EN147" s="51">
        <f t="shared" ref="EN147" si="1063">SUM(EN127:EN146)</f>
        <v>6735</v>
      </c>
      <c r="EO147" s="51">
        <f t="shared" ref="EO147" si="1064">SUM(EO127:EO146)</f>
        <v>3944</v>
      </c>
      <c r="EP147" s="51">
        <f t="shared" ref="EP147" si="1065">SUM(EP127:EP146)</f>
        <v>48460</v>
      </c>
      <c r="EQ147" s="51">
        <f t="shared" ref="EQ147" si="1066">SUM(EQ127:EQ146)</f>
        <v>1500</v>
      </c>
      <c r="ER147" s="51">
        <f t="shared" ref="ER147" si="1067">SUM(ER127:ER146)</f>
        <v>1453</v>
      </c>
      <c r="ES147" s="51">
        <f>SUM(EG147:ER147)</f>
        <v>738573.29</v>
      </c>
      <c r="ET147" s="51">
        <f>SUM(ET127:ET146)</f>
        <v>293280</v>
      </c>
      <c r="EU147" s="51">
        <f t="shared" ref="EU147" si="1068">SUM(EU127:EU146)</f>
        <v>6750</v>
      </c>
      <c r="EV147" s="51">
        <f t="shared" ref="EV147" si="1069">SUM(EV127:EV146)</f>
        <v>7854</v>
      </c>
      <c r="EW147" s="51">
        <f t="shared" ref="EW147" si="1070">SUM(EW127:EW146)</f>
        <v>48950</v>
      </c>
      <c r="EX147" s="51">
        <f t="shared" ref="EX147" si="1071">SUM(EX127:EX146)</f>
        <v>1500</v>
      </c>
      <c r="EY147" s="51">
        <f t="shared" ref="EY147" si="1072">SUM(EY127:EY146)</f>
        <v>1468</v>
      </c>
      <c r="EZ147" s="51">
        <f t="shared" ref="EZ147" si="1073">SUM(EZ127:EZ146)</f>
        <v>196060</v>
      </c>
      <c r="FA147" s="51">
        <f t="shared" ref="FA147" si="1074">SUM(FA127:FA146)</f>
        <v>4500</v>
      </c>
      <c r="FB147" s="51">
        <f t="shared" ref="FB147" si="1075">SUM(FB127:FB146)</f>
        <v>3944</v>
      </c>
      <c r="FC147" s="51">
        <f t="shared" ref="FC147" si="1076">SUM(FC127:FC146)</f>
        <v>48460</v>
      </c>
      <c r="FD147" s="51">
        <f t="shared" ref="FD147" si="1077">SUM(FD127:FD146)</f>
        <v>1500</v>
      </c>
      <c r="FE147" s="51">
        <f t="shared" ref="FE147" si="1078">SUM(FE127:FE146)</f>
        <v>1453</v>
      </c>
      <c r="FF147" s="51">
        <f t="shared" si="937"/>
        <v>615719</v>
      </c>
      <c r="FG147" s="51">
        <f>+EF147+ES147+FF147</f>
        <v>1970011.29</v>
      </c>
      <c r="FH147" s="35">
        <f t="shared" si="939"/>
        <v>6797977.29</v>
      </c>
    </row>
    <row r="148" spans="1:164" ht="21.75" thickBot="1" x14ac:dyDescent="0.4">
      <c r="A148" s="42"/>
      <c r="B148" s="43"/>
      <c r="C148" s="44"/>
      <c r="D148" s="45">
        <f>+D25+D69+D91+D96+D118+D125+D147</f>
        <v>1182960</v>
      </c>
      <c r="E148" s="45">
        <f t="shared" ref="E148:BP148" si="1079">+E25+E69+E91+E96+E118+E125+E147</f>
        <v>32250</v>
      </c>
      <c r="F148" s="45">
        <f t="shared" si="1079"/>
        <v>26869</v>
      </c>
      <c r="G148" s="45">
        <f t="shared" si="1079"/>
        <v>619040</v>
      </c>
      <c r="H148" s="45">
        <f t="shared" si="1079"/>
        <v>21750</v>
      </c>
      <c r="I148" s="45">
        <f t="shared" si="1079"/>
        <v>16180</v>
      </c>
      <c r="J148" s="45">
        <f t="shared" si="1079"/>
        <v>907140</v>
      </c>
      <c r="K148" s="45">
        <f t="shared" si="1079"/>
        <v>24750</v>
      </c>
      <c r="L148" s="45">
        <f t="shared" si="1079"/>
        <v>19010</v>
      </c>
      <c r="M148" s="45">
        <f t="shared" si="1079"/>
        <v>174210</v>
      </c>
      <c r="N148" s="45">
        <f t="shared" si="1079"/>
        <v>6000</v>
      </c>
      <c r="O148" s="45">
        <f t="shared" si="1079"/>
        <v>4578</v>
      </c>
      <c r="P148" s="45">
        <f t="shared" si="1079"/>
        <v>3034737</v>
      </c>
      <c r="Q148" s="45">
        <f t="shared" si="1079"/>
        <v>1182960</v>
      </c>
      <c r="R148" s="45">
        <f t="shared" si="1079"/>
        <v>32250</v>
      </c>
      <c r="S148" s="45">
        <f t="shared" si="1079"/>
        <v>26869</v>
      </c>
      <c r="T148" s="45">
        <f t="shared" si="1079"/>
        <v>619040</v>
      </c>
      <c r="U148" s="45">
        <f t="shared" si="1079"/>
        <v>21750</v>
      </c>
      <c r="V148" s="45">
        <f t="shared" si="1079"/>
        <v>16720</v>
      </c>
      <c r="W148" s="45">
        <f t="shared" si="1079"/>
        <v>907140</v>
      </c>
      <c r="X148" s="45">
        <f t="shared" si="1079"/>
        <v>24750</v>
      </c>
      <c r="Y148" s="45">
        <f t="shared" si="1079"/>
        <v>19010</v>
      </c>
      <c r="Z148" s="45">
        <f t="shared" si="1079"/>
        <v>174210</v>
      </c>
      <c r="AA148" s="45">
        <f t="shared" si="1079"/>
        <v>6000</v>
      </c>
      <c r="AB148" s="45">
        <f t="shared" si="1079"/>
        <v>4578</v>
      </c>
      <c r="AC148" s="45">
        <f t="shared" si="1079"/>
        <v>3035277</v>
      </c>
      <c r="AD148" s="45">
        <f t="shared" si="1079"/>
        <v>1182960</v>
      </c>
      <c r="AE148" s="45">
        <f t="shared" si="1079"/>
        <v>32250</v>
      </c>
      <c r="AF148" s="45">
        <f t="shared" si="1079"/>
        <v>26869</v>
      </c>
      <c r="AG148" s="45">
        <f t="shared" si="1079"/>
        <v>619040</v>
      </c>
      <c r="AH148" s="45">
        <f t="shared" si="1079"/>
        <v>21750</v>
      </c>
      <c r="AI148" s="45">
        <f t="shared" si="1079"/>
        <v>16720</v>
      </c>
      <c r="AJ148" s="45">
        <f t="shared" si="1079"/>
        <v>907140</v>
      </c>
      <c r="AK148" s="45">
        <f t="shared" si="1079"/>
        <v>24750</v>
      </c>
      <c r="AL148" s="45">
        <f t="shared" si="1079"/>
        <v>19010</v>
      </c>
      <c r="AM148" s="45">
        <f t="shared" si="1079"/>
        <v>174210</v>
      </c>
      <c r="AN148" s="45">
        <f t="shared" si="1079"/>
        <v>6000</v>
      </c>
      <c r="AO148" s="45">
        <f t="shared" si="1079"/>
        <v>4578</v>
      </c>
      <c r="AP148" s="45">
        <f t="shared" si="1079"/>
        <v>3035277</v>
      </c>
      <c r="AQ148" s="45">
        <f>+AQ25+AQ69+AQ91+AQ96+AQ118+AQ125+AQ147</f>
        <v>9105291</v>
      </c>
      <c r="AR148" s="45">
        <f t="shared" si="1079"/>
        <v>1282032.5699999998</v>
      </c>
      <c r="AS148" s="45">
        <f t="shared" si="1079"/>
        <v>36042</v>
      </c>
      <c r="AT148" s="45">
        <f t="shared" si="1079"/>
        <v>26869</v>
      </c>
      <c r="AU148" s="45">
        <f t="shared" si="1079"/>
        <v>619040</v>
      </c>
      <c r="AV148" s="45">
        <f t="shared" si="1079"/>
        <v>21750</v>
      </c>
      <c r="AW148" s="45">
        <f t="shared" si="1079"/>
        <v>16180</v>
      </c>
      <c r="AX148" s="45">
        <f t="shared" si="1079"/>
        <v>932678.71</v>
      </c>
      <c r="AY148" s="45">
        <f t="shared" si="1079"/>
        <v>25500</v>
      </c>
      <c r="AZ148" s="45">
        <f t="shared" si="1079"/>
        <v>21494</v>
      </c>
      <c r="BA148" s="45">
        <f t="shared" si="1079"/>
        <v>174210</v>
      </c>
      <c r="BB148" s="45">
        <f t="shared" si="1079"/>
        <v>6000</v>
      </c>
      <c r="BC148" s="45">
        <f t="shared" si="1079"/>
        <v>4578</v>
      </c>
      <c r="BD148" s="45">
        <f t="shared" si="1079"/>
        <v>3166374.28</v>
      </c>
      <c r="BE148" s="45">
        <f t="shared" si="1079"/>
        <v>1251210</v>
      </c>
      <c r="BF148" s="45">
        <f t="shared" si="1079"/>
        <v>34500</v>
      </c>
      <c r="BG148" s="45">
        <f t="shared" si="1079"/>
        <v>26869</v>
      </c>
      <c r="BH148" s="45">
        <f t="shared" si="1079"/>
        <v>619040</v>
      </c>
      <c r="BI148" s="45">
        <f t="shared" si="1079"/>
        <v>21750</v>
      </c>
      <c r="BJ148" s="45">
        <f t="shared" si="1079"/>
        <v>16720</v>
      </c>
      <c r="BK148" s="45">
        <f t="shared" si="1079"/>
        <v>934440</v>
      </c>
      <c r="BL148" s="45">
        <f t="shared" si="1079"/>
        <v>25500</v>
      </c>
      <c r="BM148" s="45">
        <f t="shared" si="1079"/>
        <v>19838</v>
      </c>
      <c r="BN148" s="45">
        <f t="shared" si="1079"/>
        <v>174210</v>
      </c>
      <c r="BO148" s="45">
        <f t="shared" si="1079"/>
        <v>6000</v>
      </c>
      <c r="BP148" s="45">
        <f t="shared" si="1079"/>
        <v>4578</v>
      </c>
      <c r="BQ148" s="45">
        <f t="shared" ref="BQ148:EB148" si="1080">+BQ25+BQ69+BQ91+BQ96+BQ118+BQ125+BQ147</f>
        <v>3134655</v>
      </c>
      <c r="BR148" s="45">
        <f t="shared" si="1080"/>
        <v>1251210</v>
      </c>
      <c r="BS148" s="45">
        <f t="shared" si="1080"/>
        <v>34500</v>
      </c>
      <c r="BT148" s="45">
        <f t="shared" si="1080"/>
        <v>26869</v>
      </c>
      <c r="BU148" s="45">
        <f t="shared" si="1080"/>
        <v>619040</v>
      </c>
      <c r="BV148" s="45">
        <f t="shared" si="1080"/>
        <v>21750</v>
      </c>
      <c r="BW148" s="45">
        <f t="shared" si="1080"/>
        <v>16720</v>
      </c>
      <c r="BX148" s="45">
        <f t="shared" si="1080"/>
        <v>934440</v>
      </c>
      <c r="BY148" s="45">
        <f t="shared" si="1080"/>
        <v>25500</v>
      </c>
      <c r="BZ148" s="45">
        <f t="shared" si="1080"/>
        <v>19838</v>
      </c>
      <c r="CA148" s="45">
        <f t="shared" si="1080"/>
        <v>174210</v>
      </c>
      <c r="CB148" s="45">
        <f t="shared" si="1080"/>
        <v>6000</v>
      </c>
      <c r="CC148" s="45">
        <f t="shared" si="1080"/>
        <v>4578</v>
      </c>
      <c r="CD148" s="45">
        <f t="shared" si="1080"/>
        <v>3134655</v>
      </c>
      <c r="CE148" s="45">
        <f t="shared" si="1080"/>
        <v>9435684.2800000012</v>
      </c>
      <c r="CF148" s="45">
        <f t="shared" si="1080"/>
        <v>1625080</v>
      </c>
      <c r="CG148" s="45">
        <f t="shared" si="1080"/>
        <v>34500</v>
      </c>
      <c r="CH148" s="45">
        <f t="shared" si="1080"/>
        <v>35879</v>
      </c>
      <c r="CI148" s="45">
        <f t="shared" si="1080"/>
        <v>827710</v>
      </c>
      <c r="CJ148" s="45">
        <f t="shared" si="1080"/>
        <v>21750</v>
      </c>
      <c r="CK148" s="45">
        <f t="shared" si="1080"/>
        <v>22321</v>
      </c>
      <c r="CL148" s="45">
        <f t="shared" si="1080"/>
        <v>1204010</v>
      </c>
      <c r="CM148" s="45">
        <f t="shared" si="1080"/>
        <v>24750</v>
      </c>
      <c r="CN148" s="45">
        <f t="shared" si="1080"/>
        <v>27527</v>
      </c>
      <c r="CO148" s="45">
        <f t="shared" si="1080"/>
        <v>228040</v>
      </c>
      <c r="CP148" s="45">
        <f t="shared" si="1080"/>
        <v>6000</v>
      </c>
      <c r="CQ148" s="45">
        <f t="shared" si="1080"/>
        <v>5961</v>
      </c>
      <c r="CR148" s="45">
        <f t="shared" si="1080"/>
        <v>4063528</v>
      </c>
      <c r="CS148" s="45">
        <f t="shared" si="1080"/>
        <v>2132920</v>
      </c>
      <c r="CT148" s="45">
        <f t="shared" si="1080"/>
        <v>35250</v>
      </c>
      <c r="CU148" s="45">
        <f t="shared" si="1080"/>
        <v>45176</v>
      </c>
      <c r="CV148" s="45">
        <f t="shared" si="1080"/>
        <v>824770</v>
      </c>
      <c r="CW148" s="45">
        <f t="shared" si="1080"/>
        <v>21000</v>
      </c>
      <c r="CX148" s="45">
        <f t="shared" si="1080"/>
        <v>22174</v>
      </c>
      <c r="CY148" s="45">
        <f t="shared" si="1080"/>
        <v>1561970</v>
      </c>
      <c r="CZ148" s="45">
        <f t="shared" si="1080"/>
        <v>24750</v>
      </c>
      <c r="DA148" s="45">
        <f t="shared" si="1080"/>
        <v>34456</v>
      </c>
      <c r="DB148" s="45">
        <f t="shared" si="1080"/>
        <v>244420</v>
      </c>
      <c r="DC148" s="45">
        <f t="shared" si="1080"/>
        <v>6000</v>
      </c>
      <c r="DD148" s="45">
        <f t="shared" si="1080"/>
        <v>6435</v>
      </c>
      <c r="DE148" s="45">
        <f t="shared" si="1080"/>
        <v>4959321</v>
      </c>
      <c r="DF148" s="45">
        <f t="shared" si="1080"/>
        <v>1323520</v>
      </c>
      <c r="DG148" s="45">
        <f t="shared" si="1080"/>
        <v>35250</v>
      </c>
      <c r="DH148" s="45">
        <f t="shared" si="1080"/>
        <v>28718</v>
      </c>
      <c r="DI148" s="45">
        <f t="shared" si="1080"/>
        <v>629950</v>
      </c>
      <c r="DJ148" s="45">
        <f t="shared" si="1080"/>
        <v>21000</v>
      </c>
      <c r="DK148" s="45">
        <f t="shared" si="1080"/>
        <v>16948</v>
      </c>
      <c r="DL148" s="45">
        <f t="shared" si="1080"/>
        <v>949550</v>
      </c>
      <c r="DM148" s="45">
        <f t="shared" si="1080"/>
        <v>24750</v>
      </c>
      <c r="DN148" s="45">
        <f t="shared" si="1080"/>
        <v>21640</v>
      </c>
      <c r="DO148" s="45">
        <f t="shared" si="1080"/>
        <v>181900</v>
      </c>
      <c r="DP148" s="45">
        <f t="shared" si="1080"/>
        <v>6000</v>
      </c>
      <c r="DQ148" s="45">
        <f t="shared" si="1080"/>
        <v>4773</v>
      </c>
      <c r="DR148" s="45">
        <f t="shared" si="1080"/>
        <v>3243999</v>
      </c>
      <c r="DS148" s="45">
        <f t="shared" si="1080"/>
        <v>12266848</v>
      </c>
      <c r="DT148" s="45">
        <f t="shared" si="1080"/>
        <v>1489920</v>
      </c>
      <c r="DU148" s="45">
        <f t="shared" si="1080"/>
        <v>36000</v>
      </c>
      <c r="DV148" s="45">
        <f t="shared" si="1080"/>
        <v>32309</v>
      </c>
      <c r="DW148" s="45">
        <f t="shared" si="1080"/>
        <v>662420</v>
      </c>
      <c r="DX148" s="45">
        <f t="shared" si="1080"/>
        <v>21000</v>
      </c>
      <c r="DY148" s="45">
        <f t="shared" si="1080"/>
        <v>17084</v>
      </c>
      <c r="DZ148" s="45">
        <f t="shared" si="1080"/>
        <v>1083120</v>
      </c>
      <c r="EA148" s="45">
        <f t="shared" si="1080"/>
        <v>25500</v>
      </c>
      <c r="EB148" s="45">
        <f t="shared" si="1080"/>
        <v>23905</v>
      </c>
      <c r="EC148" s="45">
        <f t="shared" ref="EC148:FH148" si="1081">+EC25+EC69+EC91+EC96+EC118+EC125+EC147</f>
        <v>192320</v>
      </c>
      <c r="ED148" s="45">
        <f t="shared" si="1081"/>
        <v>6000</v>
      </c>
      <c r="EE148" s="45">
        <f t="shared" si="1081"/>
        <v>5050</v>
      </c>
      <c r="EF148" s="45">
        <f t="shared" si="1081"/>
        <v>3594628</v>
      </c>
      <c r="EG148" s="45">
        <f t="shared" si="1081"/>
        <v>1531581.29</v>
      </c>
      <c r="EH148" s="45">
        <f t="shared" si="1081"/>
        <v>37258</v>
      </c>
      <c r="EI148" s="45">
        <f t="shared" si="1081"/>
        <v>32309</v>
      </c>
      <c r="EJ148" s="45">
        <f t="shared" si="1081"/>
        <v>662420</v>
      </c>
      <c r="EK148" s="45">
        <f t="shared" si="1081"/>
        <v>21000</v>
      </c>
      <c r="EL148" s="45">
        <f t="shared" si="1081"/>
        <v>17084</v>
      </c>
      <c r="EM148" s="45">
        <f t="shared" si="1081"/>
        <v>1160820</v>
      </c>
      <c r="EN148" s="45">
        <f t="shared" si="1081"/>
        <v>27735</v>
      </c>
      <c r="EO148" s="45">
        <f t="shared" si="1081"/>
        <v>23905</v>
      </c>
      <c r="EP148" s="45">
        <f t="shared" si="1081"/>
        <v>192320</v>
      </c>
      <c r="EQ148" s="45">
        <f t="shared" si="1081"/>
        <v>6000</v>
      </c>
      <c r="ER148" s="45">
        <f t="shared" si="1081"/>
        <v>5050</v>
      </c>
      <c r="ES148" s="45">
        <f t="shared" si="1081"/>
        <v>3717482.29</v>
      </c>
      <c r="ET148" s="45">
        <f t="shared" si="1081"/>
        <v>1489920</v>
      </c>
      <c r="EU148" s="45">
        <f t="shared" si="1081"/>
        <v>36000</v>
      </c>
      <c r="EV148" s="45">
        <f t="shared" si="1081"/>
        <v>32309</v>
      </c>
      <c r="EW148" s="45">
        <f t="shared" si="1081"/>
        <v>662420</v>
      </c>
      <c r="EX148" s="45">
        <f t="shared" si="1081"/>
        <v>21000</v>
      </c>
      <c r="EY148" s="45">
        <f t="shared" si="1081"/>
        <v>17084</v>
      </c>
      <c r="EZ148" s="45">
        <f t="shared" si="1081"/>
        <v>1083120</v>
      </c>
      <c r="FA148" s="45">
        <f t="shared" si="1081"/>
        <v>25500</v>
      </c>
      <c r="FB148" s="45">
        <f t="shared" si="1081"/>
        <v>23905</v>
      </c>
      <c r="FC148" s="45">
        <f t="shared" si="1081"/>
        <v>192320</v>
      </c>
      <c r="FD148" s="45">
        <f t="shared" si="1081"/>
        <v>6000</v>
      </c>
      <c r="FE148" s="45">
        <f t="shared" si="1081"/>
        <v>5050</v>
      </c>
      <c r="FF148" s="45">
        <f t="shared" si="1081"/>
        <v>3594628</v>
      </c>
      <c r="FG148" s="45">
        <f t="shared" si="1081"/>
        <v>10906738.289999999</v>
      </c>
      <c r="FH148" s="45">
        <f t="shared" si="1081"/>
        <v>41714561.57</v>
      </c>
    </row>
    <row r="149" spans="1:164" ht="21.75" thickTop="1" x14ac:dyDescent="0.35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</row>
    <row r="150" spans="1:164" x14ac:dyDescent="0.35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</row>
    <row r="151" spans="1:164" x14ac:dyDescent="0.35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</row>
    <row r="152" spans="1:164" x14ac:dyDescent="0.35">
      <c r="A152" s="55" t="s">
        <v>245</v>
      </c>
      <c r="B152" s="55"/>
      <c r="C152" s="55"/>
      <c r="D152" s="118" t="s">
        <v>246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 t="s">
        <v>247</v>
      </c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 t="s">
        <v>248</v>
      </c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5" t="s">
        <v>223</v>
      </c>
      <c r="AR152" s="118" t="s">
        <v>270</v>
      </c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 t="s">
        <v>271</v>
      </c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 t="s">
        <v>272</v>
      </c>
      <c r="BS152" s="118"/>
      <c r="BT152" s="118"/>
      <c r="BU152" s="118"/>
      <c r="BV152" s="118"/>
      <c r="BW152" s="118"/>
      <c r="BX152" s="118"/>
      <c r="BY152" s="118"/>
      <c r="BZ152" s="118"/>
      <c r="CA152" s="118"/>
      <c r="CB152" s="118"/>
      <c r="CC152" s="118"/>
      <c r="CD152" s="118"/>
      <c r="CE152" s="5" t="s">
        <v>224</v>
      </c>
      <c r="CF152" s="118" t="s">
        <v>273</v>
      </c>
      <c r="CG152" s="118"/>
      <c r="CH152" s="118"/>
      <c r="CI152" s="118"/>
      <c r="CJ152" s="118"/>
      <c r="CK152" s="118"/>
      <c r="CL152" s="118"/>
      <c r="CM152" s="118"/>
      <c r="CN152" s="118"/>
      <c r="CO152" s="118"/>
      <c r="CP152" s="118"/>
      <c r="CQ152" s="118"/>
      <c r="CR152" s="118"/>
      <c r="CS152" s="118" t="s">
        <v>274</v>
      </c>
      <c r="CT152" s="118"/>
      <c r="CU152" s="118"/>
      <c r="CV152" s="118"/>
      <c r="CW152" s="118"/>
      <c r="CX152" s="118"/>
      <c r="CY152" s="118"/>
      <c r="CZ152" s="118"/>
      <c r="DA152" s="118"/>
      <c r="DB152" s="118"/>
      <c r="DC152" s="118"/>
      <c r="DD152" s="118"/>
      <c r="DE152" s="118"/>
      <c r="DF152" s="118" t="s">
        <v>275</v>
      </c>
      <c r="DG152" s="118"/>
      <c r="DH152" s="118"/>
      <c r="DI152" s="118"/>
      <c r="DJ152" s="118"/>
      <c r="DK152" s="118"/>
      <c r="DL152" s="118"/>
      <c r="DM152" s="118"/>
      <c r="DN152" s="118"/>
      <c r="DO152" s="118"/>
      <c r="DP152" s="118"/>
      <c r="DQ152" s="118"/>
      <c r="DR152" s="118"/>
      <c r="DS152" s="5" t="s">
        <v>225</v>
      </c>
      <c r="DT152" s="118" t="s">
        <v>276</v>
      </c>
      <c r="DU152" s="118"/>
      <c r="DV152" s="118"/>
      <c r="DW152" s="118"/>
      <c r="DX152" s="118"/>
      <c r="DY152" s="118"/>
      <c r="DZ152" s="118"/>
      <c r="EA152" s="118"/>
      <c r="EB152" s="118"/>
      <c r="EC152" s="118"/>
      <c r="ED152" s="118"/>
      <c r="EE152" s="118"/>
      <c r="EF152" s="118"/>
      <c r="EG152" s="118" t="s">
        <v>277</v>
      </c>
      <c r="EH152" s="118"/>
      <c r="EI152" s="118"/>
      <c r="EJ152" s="118"/>
      <c r="EK152" s="118"/>
      <c r="EL152" s="118"/>
      <c r="EM152" s="118"/>
      <c r="EN152" s="118"/>
      <c r="EO152" s="118"/>
      <c r="EP152" s="118"/>
      <c r="EQ152" s="118"/>
      <c r="ER152" s="118"/>
      <c r="ES152" s="118"/>
      <c r="ET152" s="118" t="s">
        <v>278</v>
      </c>
      <c r="EU152" s="118"/>
      <c r="EV152" s="118"/>
      <c r="EW152" s="118"/>
      <c r="EX152" s="118"/>
      <c r="EY152" s="118"/>
      <c r="EZ152" s="118"/>
      <c r="FA152" s="118"/>
      <c r="FB152" s="118"/>
      <c r="FC152" s="118"/>
      <c r="FD152" s="118"/>
      <c r="FE152" s="118"/>
      <c r="FF152" s="118"/>
      <c r="FG152" s="5" t="s">
        <v>226</v>
      </c>
      <c r="FH152" s="111" t="s">
        <v>228</v>
      </c>
    </row>
    <row r="153" spans="1:164" x14ac:dyDescent="0.35">
      <c r="A153" s="55" t="s">
        <v>103</v>
      </c>
      <c r="B153" s="55" t="s">
        <v>100</v>
      </c>
      <c r="C153" s="55"/>
      <c r="D153" s="117" t="s">
        <v>17</v>
      </c>
      <c r="E153" s="117"/>
      <c r="F153" s="117"/>
      <c r="G153" s="117"/>
      <c r="H153" s="117"/>
      <c r="I153" s="117"/>
      <c r="J153" s="117" t="s">
        <v>18</v>
      </c>
      <c r="K153" s="117"/>
      <c r="L153" s="117"/>
      <c r="M153" s="117"/>
      <c r="N153" s="117"/>
      <c r="O153" s="117"/>
      <c r="P153" s="5" t="s">
        <v>16</v>
      </c>
      <c r="Q153" s="117" t="s">
        <v>17</v>
      </c>
      <c r="R153" s="117"/>
      <c r="S153" s="117"/>
      <c r="T153" s="117"/>
      <c r="U153" s="117"/>
      <c r="V153" s="117"/>
      <c r="W153" s="117" t="s">
        <v>18</v>
      </c>
      <c r="X153" s="117"/>
      <c r="Y153" s="117"/>
      <c r="Z153" s="117"/>
      <c r="AA153" s="117"/>
      <c r="AB153" s="117"/>
      <c r="AC153" s="5" t="s">
        <v>16</v>
      </c>
      <c r="AD153" s="117" t="s">
        <v>17</v>
      </c>
      <c r="AE153" s="117"/>
      <c r="AF153" s="117"/>
      <c r="AG153" s="117"/>
      <c r="AH153" s="117"/>
      <c r="AI153" s="117"/>
      <c r="AJ153" s="117" t="s">
        <v>18</v>
      </c>
      <c r="AK153" s="117"/>
      <c r="AL153" s="117"/>
      <c r="AM153" s="117"/>
      <c r="AN153" s="117"/>
      <c r="AO153" s="117"/>
      <c r="AP153" s="5" t="s">
        <v>16</v>
      </c>
      <c r="AQ153" s="5" t="s">
        <v>16</v>
      </c>
      <c r="AR153" s="117" t="s">
        <v>17</v>
      </c>
      <c r="AS153" s="117"/>
      <c r="AT153" s="117"/>
      <c r="AU153" s="117"/>
      <c r="AV153" s="117"/>
      <c r="AW153" s="117"/>
      <c r="AX153" s="117" t="s">
        <v>18</v>
      </c>
      <c r="AY153" s="117"/>
      <c r="AZ153" s="117"/>
      <c r="BA153" s="117"/>
      <c r="BB153" s="117"/>
      <c r="BC153" s="117"/>
      <c r="BD153" s="5" t="s">
        <v>16</v>
      </c>
      <c r="BE153" s="117" t="s">
        <v>17</v>
      </c>
      <c r="BF153" s="117"/>
      <c r="BG153" s="117"/>
      <c r="BH153" s="117"/>
      <c r="BI153" s="117"/>
      <c r="BJ153" s="117"/>
      <c r="BK153" s="117" t="s">
        <v>18</v>
      </c>
      <c r="BL153" s="117"/>
      <c r="BM153" s="117"/>
      <c r="BN153" s="117"/>
      <c r="BO153" s="117"/>
      <c r="BP153" s="117"/>
      <c r="BQ153" s="5" t="s">
        <v>16</v>
      </c>
      <c r="BR153" s="117" t="s">
        <v>17</v>
      </c>
      <c r="BS153" s="117"/>
      <c r="BT153" s="117"/>
      <c r="BU153" s="117"/>
      <c r="BV153" s="117"/>
      <c r="BW153" s="117"/>
      <c r="BX153" s="117" t="s">
        <v>18</v>
      </c>
      <c r="BY153" s="117"/>
      <c r="BZ153" s="117"/>
      <c r="CA153" s="117"/>
      <c r="CB153" s="117"/>
      <c r="CC153" s="117"/>
      <c r="CD153" s="5" t="s">
        <v>16</v>
      </c>
      <c r="CE153" s="5" t="s">
        <v>16</v>
      </c>
      <c r="CF153" s="117" t="s">
        <v>17</v>
      </c>
      <c r="CG153" s="117"/>
      <c r="CH153" s="117"/>
      <c r="CI153" s="117"/>
      <c r="CJ153" s="117"/>
      <c r="CK153" s="117"/>
      <c r="CL153" s="117" t="s">
        <v>18</v>
      </c>
      <c r="CM153" s="117"/>
      <c r="CN153" s="117"/>
      <c r="CO153" s="117"/>
      <c r="CP153" s="117"/>
      <c r="CQ153" s="117"/>
      <c r="CR153" s="5" t="s">
        <v>16</v>
      </c>
      <c r="CS153" s="117" t="s">
        <v>17</v>
      </c>
      <c r="CT153" s="117"/>
      <c r="CU153" s="117"/>
      <c r="CV153" s="117"/>
      <c r="CW153" s="117"/>
      <c r="CX153" s="117"/>
      <c r="CY153" s="117" t="s">
        <v>18</v>
      </c>
      <c r="CZ153" s="117"/>
      <c r="DA153" s="117"/>
      <c r="DB153" s="117"/>
      <c r="DC153" s="117"/>
      <c r="DD153" s="117"/>
      <c r="DE153" s="5" t="s">
        <v>16</v>
      </c>
      <c r="DF153" s="117" t="s">
        <v>17</v>
      </c>
      <c r="DG153" s="117"/>
      <c r="DH153" s="117"/>
      <c r="DI153" s="117"/>
      <c r="DJ153" s="117"/>
      <c r="DK153" s="117"/>
      <c r="DL153" s="117" t="s">
        <v>18</v>
      </c>
      <c r="DM153" s="117"/>
      <c r="DN153" s="117"/>
      <c r="DO153" s="117"/>
      <c r="DP153" s="117"/>
      <c r="DQ153" s="117"/>
      <c r="DR153" s="5" t="s">
        <v>16</v>
      </c>
      <c r="DS153" s="5" t="s">
        <v>16</v>
      </c>
      <c r="DT153" s="117" t="s">
        <v>17</v>
      </c>
      <c r="DU153" s="117"/>
      <c r="DV153" s="117"/>
      <c r="DW153" s="117"/>
      <c r="DX153" s="117"/>
      <c r="DY153" s="117"/>
      <c r="DZ153" s="117" t="s">
        <v>18</v>
      </c>
      <c r="EA153" s="117"/>
      <c r="EB153" s="117"/>
      <c r="EC153" s="117"/>
      <c r="ED153" s="117"/>
      <c r="EE153" s="117"/>
      <c r="EF153" s="5" t="s">
        <v>16</v>
      </c>
      <c r="EG153" s="117" t="s">
        <v>17</v>
      </c>
      <c r="EH153" s="117"/>
      <c r="EI153" s="117"/>
      <c r="EJ153" s="117"/>
      <c r="EK153" s="117"/>
      <c r="EL153" s="117"/>
      <c r="EM153" s="117" t="s">
        <v>18</v>
      </c>
      <c r="EN153" s="117"/>
      <c r="EO153" s="117"/>
      <c r="EP153" s="117"/>
      <c r="EQ153" s="117"/>
      <c r="ER153" s="117"/>
      <c r="ES153" s="5" t="s">
        <v>16</v>
      </c>
      <c r="ET153" s="117" t="s">
        <v>17</v>
      </c>
      <c r="EU153" s="117"/>
      <c r="EV153" s="117"/>
      <c r="EW153" s="117"/>
      <c r="EX153" s="117"/>
      <c r="EY153" s="117"/>
      <c r="EZ153" s="117" t="s">
        <v>18</v>
      </c>
      <c r="FA153" s="117"/>
      <c r="FB153" s="117"/>
      <c r="FC153" s="117"/>
      <c r="FD153" s="117"/>
      <c r="FE153" s="117"/>
      <c r="FF153" s="5" t="s">
        <v>16</v>
      </c>
      <c r="FG153" s="5" t="s">
        <v>16</v>
      </c>
      <c r="FH153" s="116"/>
    </row>
    <row r="154" spans="1:164" x14ac:dyDescent="0.35">
      <c r="A154" s="55" t="s">
        <v>120</v>
      </c>
      <c r="B154" s="55"/>
      <c r="C154" s="55"/>
      <c r="D154" s="105" t="s">
        <v>8</v>
      </c>
      <c r="E154" s="106"/>
      <c r="F154" s="107"/>
      <c r="G154" s="105" t="s">
        <v>9</v>
      </c>
      <c r="H154" s="106"/>
      <c r="I154" s="107"/>
      <c r="J154" s="105" t="s">
        <v>8</v>
      </c>
      <c r="K154" s="106"/>
      <c r="L154" s="107"/>
      <c r="M154" s="105" t="s">
        <v>9</v>
      </c>
      <c r="N154" s="106"/>
      <c r="O154" s="107"/>
      <c r="P154" s="5"/>
      <c r="Q154" s="105" t="s">
        <v>8</v>
      </c>
      <c r="R154" s="106"/>
      <c r="S154" s="107"/>
      <c r="T154" s="105" t="s">
        <v>9</v>
      </c>
      <c r="U154" s="106"/>
      <c r="V154" s="107"/>
      <c r="W154" s="105" t="s">
        <v>8</v>
      </c>
      <c r="X154" s="106"/>
      <c r="Y154" s="107"/>
      <c r="Z154" s="105" t="s">
        <v>9</v>
      </c>
      <c r="AA154" s="106"/>
      <c r="AB154" s="107"/>
      <c r="AC154" s="5"/>
      <c r="AD154" s="105" t="s">
        <v>8</v>
      </c>
      <c r="AE154" s="106"/>
      <c r="AF154" s="107"/>
      <c r="AG154" s="105" t="s">
        <v>9</v>
      </c>
      <c r="AH154" s="106"/>
      <c r="AI154" s="107"/>
      <c r="AJ154" s="105" t="s">
        <v>8</v>
      </c>
      <c r="AK154" s="106"/>
      <c r="AL154" s="107"/>
      <c r="AM154" s="105" t="s">
        <v>9</v>
      </c>
      <c r="AN154" s="106"/>
      <c r="AO154" s="107"/>
      <c r="AP154" s="5"/>
      <c r="AQ154" s="5"/>
      <c r="AR154" s="105" t="s">
        <v>8</v>
      </c>
      <c r="AS154" s="106"/>
      <c r="AT154" s="107"/>
      <c r="AU154" s="105" t="s">
        <v>9</v>
      </c>
      <c r="AV154" s="106"/>
      <c r="AW154" s="107"/>
      <c r="AX154" s="105" t="s">
        <v>8</v>
      </c>
      <c r="AY154" s="106"/>
      <c r="AZ154" s="107"/>
      <c r="BA154" s="105" t="s">
        <v>9</v>
      </c>
      <c r="BB154" s="106"/>
      <c r="BC154" s="107"/>
      <c r="BD154" s="5"/>
      <c r="BE154" s="105" t="s">
        <v>8</v>
      </c>
      <c r="BF154" s="106"/>
      <c r="BG154" s="107"/>
      <c r="BH154" s="105" t="s">
        <v>9</v>
      </c>
      <c r="BI154" s="106"/>
      <c r="BJ154" s="107"/>
      <c r="BK154" s="105" t="s">
        <v>8</v>
      </c>
      <c r="BL154" s="106"/>
      <c r="BM154" s="107"/>
      <c r="BN154" s="105" t="s">
        <v>9</v>
      </c>
      <c r="BO154" s="106"/>
      <c r="BP154" s="107"/>
      <c r="BQ154" s="5"/>
      <c r="BR154" s="105" t="s">
        <v>8</v>
      </c>
      <c r="BS154" s="106"/>
      <c r="BT154" s="107"/>
      <c r="BU154" s="105" t="s">
        <v>9</v>
      </c>
      <c r="BV154" s="106"/>
      <c r="BW154" s="107"/>
      <c r="BX154" s="105" t="s">
        <v>8</v>
      </c>
      <c r="BY154" s="106"/>
      <c r="BZ154" s="107"/>
      <c r="CA154" s="105" t="s">
        <v>9</v>
      </c>
      <c r="CB154" s="106"/>
      <c r="CC154" s="107"/>
      <c r="CD154" s="5"/>
      <c r="CE154" s="5"/>
      <c r="CF154" s="105" t="s">
        <v>8</v>
      </c>
      <c r="CG154" s="106"/>
      <c r="CH154" s="107"/>
      <c r="CI154" s="105" t="s">
        <v>9</v>
      </c>
      <c r="CJ154" s="106"/>
      <c r="CK154" s="107"/>
      <c r="CL154" s="105" t="s">
        <v>8</v>
      </c>
      <c r="CM154" s="106"/>
      <c r="CN154" s="107"/>
      <c r="CO154" s="105" t="s">
        <v>9</v>
      </c>
      <c r="CP154" s="106"/>
      <c r="CQ154" s="107"/>
      <c r="CR154" s="5"/>
      <c r="CS154" s="105" t="s">
        <v>8</v>
      </c>
      <c r="CT154" s="106"/>
      <c r="CU154" s="107"/>
      <c r="CV154" s="105" t="s">
        <v>9</v>
      </c>
      <c r="CW154" s="106"/>
      <c r="CX154" s="107"/>
      <c r="CY154" s="105" t="s">
        <v>8</v>
      </c>
      <c r="CZ154" s="106"/>
      <c r="DA154" s="107"/>
      <c r="DB154" s="105" t="s">
        <v>9</v>
      </c>
      <c r="DC154" s="106"/>
      <c r="DD154" s="107"/>
      <c r="DE154" s="5"/>
      <c r="DF154" s="105" t="s">
        <v>8</v>
      </c>
      <c r="DG154" s="106"/>
      <c r="DH154" s="107"/>
      <c r="DI154" s="105" t="s">
        <v>9</v>
      </c>
      <c r="DJ154" s="106"/>
      <c r="DK154" s="107"/>
      <c r="DL154" s="105" t="s">
        <v>8</v>
      </c>
      <c r="DM154" s="106"/>
      <c r="DN154" s="107"/>
      <c r="DO154" s="105" t="s">
        <v>9</v>
      </c>
      <c r="DP154" s="106"/>
      <c r="DQ154" s="107"/>
      <c r="DR154" s="5"/>
      <c r="DS154" s="5"/>
      <c r="DT154" s="105" t="s">
        <v>8</v>
      </c>
      <c r="DU154" s="106"/>
      <c r="DV154" s="107"/>
      <c r="DW154" s="105" t="s">
        <v>9</v>
      </c>
      <c r="DX154" s="106"/>
      <c r="DY154" s="107"/>
      <c r="DZ154" s="105" t="s">
        <v>8</v>
      </c>
      <c r="EA154" s="106"/>
      <c r="EB154" s="107"/>
      <c r="EC154" s="105" t="s">
        <v>9</v>
      </c>
      <c r="ED154" s="106"/>
      <c r="EE154" s="107"/>
      <c r="EF154" s="5"/>
      <c r="EG154" s="105" t="s">
        <v>8</v>
      </c>
      <c r="EH154" s="106"/>
      <c r="EI154" s="107"/>
      <c r="EJ154" s="105" t="s">
        <v>9</v>
      </c>
      <c r="EK154" s="106"/>
      <c r="EL154" s="107"/>
      <c r="EM154" s="105" t="s">
        <v>8</v>
      </c>
      <c r="EN154" s="106"/>
      <c r="EO154" s="107"/>
      <c r="EP154" s="105" t="s">
        <v>9</v>
      </c>
      <c r="EQ154" s="106"/>
      <c r="ER154" s="107"/>
      <c r="ES154" s="5"/>
      <c r="ET154" s="105" t="s">
        <v>8</v>
      </c>
      <c r="EU154" s="106"/>
      <c r="EV154" s="107"/>
      <c r="EW154" s="105" t="s">
        <v>9</v>
      </c>
      <c r="EX154" s="106"/>
      <c r="EY154" s="107"/>
      <c r="EZ154" s="105" t="s">
        <v>8</v>
      </c>
      <c r="FA154" s="106"/>
      <c r="FB154" s="107"/>
      <c r="FC154" s="105" t="s">
        <v>9</v>
      </c>
      <c r="FD154" s="106"/>
      <c r="FE154" s="107"/>
      <c r="FF154" s="5"/>
      <c r="FG154" s="5"/>
      <c r="FH154" s="112"/>
    </row>
    <row r="155" spans="1:164" x14ac:dyDescent="0.35">
      <c r="A155" s="33"/>
      <c r="B155" s="46"/>
      <c r="C155" s="47"/>
      <c r="D155" s="33" t="s">
        <v>5</v>
      </c>
      <c r="E155" s="33" t="s">
        <v>6</v>
      </c>
      <c r="F155" s="33" t="s">
        <v>7</v>
      </c>
      <c r="G155" s="33" t="s">
        <v>5</v>
      </c>
      <c r="H155" s="33" t="s">
        <v>6</v>
      </c>
      <c r="I155" s="33" t="s">
        <v>7</v>
      </c>
      <c r="J155" s="33" t="s">
        <v>5</v>
      </c>
      <c r="K155" s="33" t="s">
        <v>6</v>
      </c>
      <c r="L155" s="33" t="s">
        <v>7</v>
      </c>
      <c r="M155" s="33" t="s">
        <v>5</v>
      </c>
      <c r="N155" s="33" t="s">
        <v>6</v>
      </c>
      <c r="O155" s="33" t="s">
        <v>7</v>
      </c>
      <c r="P155" s="33"/>
      <c r="Q155" s="33" t="s">
        <v>5</v>
      </c>
      <c r="R155" s="33" t="s">
        <v>6</v>
      </c>
      <c r="S155" s="33" t="s">
        <v>7</v>
      </c>
      <c r="T155" s="33" t="s">
        <v>5</v>
      </c>
      <c r="U155" s="33" t="s">
        <v>6</v>
      </c>
      <c r="V155" s="33" t="s">
        <v>7</v>
      </c>
      <c r="W155" s="33" t="s">
        <v>5</v>
      </c>
      <c r="X155" s="33" t="s">
        <v>6</v>
      </c>
      <c r="Y155" s="33" t="s">
        <v>7</v>
      </c>
      <c r="Z155" s="33" t="s">
        <v>5</v>
      </c>
      <c r="AA155" s="33" t="s">
        <v>6</v>
      </c>
      <c r="AB155" s="33" t="s">
        <v>7</v>
      </c>
      <c r="AC155" s="33"/>
      <c r="AD155" s="33" t="s">
        <v>5</v>
      </c>
      <c r="AE155" s="33" t="s">
        <v>6</v>
      </c>
      <c r="AF155" s="33" t="s">
        <v>7</v>
      </c>
      <c r="AG155" s="33" t="s">
        <v>5</v>
      </c>
      <c r="AH155" s="33" t="s">
        <v>6</v>
      </c>
      <c r="AI155" s="33" t="s">
        <v>7</v>
      </c>
      <c r="AJ155" s="33" t="s">
        <v>5</v>
      </c>
      <c r="AK155" s="33" t="s">
        <v>6</v>
      </c>
      <c r="AL155" s="33" t="s">
        <v>7</v>
      </c>
      <c r="AM155" s="33" t="s">
        <v>5</v>
      </c>
      <c r="AN155" s="33" t="s">
        <v>6</v>
      </c>
      <c r="AO155" s="33" t="s">
        <v>7</v>
      </c>
      <c r="AP155" s="33"/>
      <c r="AQ155" s="33"/>
      <c r="AR155" s="33" t="s">
        <v>5</v>
      </c>
      <c r="AS155" s="33" t="s">
        <v>6</v>
      </c>
      <c r="AT155" s="33" t="s">
        <v>7</v>
      </c>
      <c r="AU155" s="33" t="s">
        <v>5</v>
      </c>
      <c r="AV155" s="33" t="s">
        <v>6</v>
      </c>
      <c r="AW155" s="33" t="s">
        <v>7</v>
      </c>
      <c r="AX155" s="33" t="s">
        <v>5</v>
      </c>
      <c r="AY155" s="33" t="s">
        <v>6</v>
      </c>
      <c r="AZ155" s="33" t="s">
        <v>7</v>
      </c>
      <c r="BA155" s="33" t="s">
        <v>5</v>
      </c>
      <c r="BB155" s="33" t="s">
        <v>6</v>
      </c>
      <c r="BC155" s="33" t="s">
        <v>7</v>
      </c>
      <c r="BD155" s="33"/>
      <c r="BE155" s="33" t="s">
        <v>5</v>
      </c>
      <c r="BF155" s="33" t="s">
        <v>6</v>
      </c>
      <c r="BG155" s="33" t="s">
        <v>7</v>
      </c>
      <c r="BH155" s="33" t="s">
        <v>5</v>
      </c>
      <c r="BI155" s="33" t="s">
        <v>6</v>
      </c>
      <c r="BJ155" s="33" t="s">
        <v>7</v>
      </c>
      <c r="BK155" s="33" t="s">
        <v>5</v>
      </c>
      <c r="BL155" s="33" t="s">
        <v>6</v>
      </c>
      <c r="BM155" s="33" t="s">
        <v>7</v>
      </c>
      <c r="BN155" s="33" t="s">
        <v>5</v>
      </c>
      <c r="BO155" s="33" t="s">
        <v>6</v>
      </c>
      <c r="BP155" s="33" t="s">
        <v>7</v>
      </c>
      <c r="BQ155" s="33"/>
      <c r="BR155" s="33" t="s">
        <v>5</v>
      </c>
      <c r="BS155" s="33" t="s">
        <v>6</v>
      </c>
      <c r="BT155" s="33" t="s">
        <v>7</v>
      </c>
      <c r="BU155" s="33" t="s">
        <v>5</v>
      </c>
      <c r="BV155" s="33" t="s">
        <v>6</v>
      </c>
      <c r="BW155" s="33" t="s">
        <v>7</v>
      </c>
      <c r="BX155" s="33" t="s">
        <v>5</v>
      </c>
      <c r="BY155" s="33" t="s">
        <v>6</v>
      </c>
      <c r="BZ155" s="33" t="s">
        <v>7</v>
      </c>
      <c r="CA155" s="33" t="s">
        <v>5</v>
      </c>
      <c r="CB155" s="33" t="s">
        <v>6</v>
      </c>
      <c r="CC155" s="33" t="s">
        <v>7</v>
      </c>
      <c r="CD155" s="33"/>
      <c r="CE155" s="33"/>
      <c r="CF155" s="33" t="s">
        <v>5</v>
      </c>
      <c r="CG155" s="33" t="s">
        <v>6</v>
      </c>
      <c r="CH155" s="33" t="s">
        <v>7</v>
      </c>
      <c r="CI155" s="33" t="s">
        <v>5</v>
      </c>
      <c r="CJ155" s="33" t="s">
        <v>6</v>
      </c>
      <c r="CK155" s="33" t="s">
        <v>7</v>
      </c>
      <c r="CL155" s="33" t="s">
        <v>5</v>
      </c>
      <c r="CM155" s="33" t="s">
        <v>6</v>
      </c>
      <c r="CN155" s="33" t="s">
        <v>7</v>
      </c>
      <c r="CO155" s="33" t="s">
        <v>5</v>
      </c>
      <c r="CP155" s="33" t="s">
        <v>6</v>
      </c>
      <c r="CQ155" s="33" t="s">
        <v>7</v>
      </c>
      <c r="CR155" s="33"/>
      <c r="CS155" s="33" t="s">
        <v>5</v>
      </c>
      <c r="CT155" s="33" t="s">
        <v>6</v>
      </c>
      <c r="CU155" s="33" t="s">
        <v>7</v>
      </c>
      <c r="CV155" s="33" t="s">
        <v>5</v>
      </c>
      <c r="CW155" s="33" t="s">
        <v>6</v>
      </c>
      <c r="CX155" s="33" t="s">
        <v>7</v>
      </c>
      <c r="CY155" s="33" t="s">
        <v>5</v>
      </c>
      <c r="CZ155" s="33" t="s">
        <v>6</v>
      </c>
      <c r="DA155" s="33" t="s">
        <v>7</v>
      </c>
      <c r="DB155" s="33" t="s">
        <v>5</v>
      </c>
      <c r="DC155" s="33" t="s">
        <v>6</v>
      </c>
      <c r="DD155" s="33" t="s">
        <v>7</v>
      </c>
      <c r="DE155" s="33"/>
      <c r="DF155" s="33" t="s">
        <v>5</v>
      </c>
      <c r="DG155" s="33" t="s">
        <v>6</v>
      </c>
      <c r="DH155" s="33" t="s">
        <v>7</v>
      </c>
      <c r="DI155" s="33" t="s">
        <v>5</v>
      </c>
      <c r="DJ155" s="33" t="s">
        <v>6</v>
      </c>
      <c r="DK155" s="33" t="s">
        <v>7</v>
      </c>
      <c r="DL155" s="33" t="s">
        <v>5</v>
      </c>
      <c r="DM155" s="33" t="s">
        <v>6</v>
      </c>
      <c r="DN155" s="33" t="s">
        <v>7</v>
      </c>
      <c r="DO155" s="33" t="s">
        <v>5</v>
      </c>
      <c r="DP155" s="33" t="s">
        <v>6</v>
      </c>
      <c r="DQ155" s="33" t="s">
        <v>7</v>
      </c>
      <c r="DR155" s="33"/>
      <c r="DS155" s="33"/>
      <c r="DT155" s="33" t="s">
        <v>5</v>
      </c>
      <c r="DU155" s="33" t="s">
        <v>6</v>
      </c>
      <c r="DV155" s="33" t="s">
        <v>7</v>
      </c>
      <c r="DW155" s="33" t="s">
        <v>5</v>
      </c>
      <c r="DX155" s="33" t="s">
        <v>6</v>
      </c>
      <c r="DY155" s="33" t="s">
        <v>7</v>
      </c>
      <c r="DZ155" s="33" t="s">
        <v>5</v>
      </c>
      <c r="EA155" s="33" t="s">
        <v>6</v>
      </c>
      <c r="EB155" s="33" t="s">
        <v>7</v>
      </c>
      <c r="EC155" s="33" t="s">
        <v>5</v>
      </c>
      <c r="ED155" s="33" t="s">
        <v>6</v>
      </c>
      <c r="EE155" s="33" t="s">
        <v>7</v>
      </c>
      <c r="EF155" s="33"/>
      <c r="EG155" s="33" t="s">
        <v>5</v>
      </c>
      <c r="EH155" s="33" t="s">
        <v>6</v>
      </c>
      <c r="EI155" s="33" t="s">
        <v>7</v>
      </c>
      <c r="EJ155" s="33" t="s">
        <v>5</v>
      </c>
      <c r="EK155" s="33" t="s">
        <v>6</v>
      </c>
      <c r="EL155" s="33" t="s">
        <v>7</v>
      </c>
      <c r="EM155" s="33" t="s">
        <v>5</v>
      </c>
      <c r="EN155" s="33" t="s">
        <v>6</v>
      </c>
      <c r="EO155" s="33" t="s">
        <v>7</v>
      </c>
      <c r="EP155" s="33" t="s">
        <v>5</v>
      </c>
      <c r="EQ155" s="33" t="s">
        <v>6</v>
      </c>
      <c r="ER155" s="33" t="s">
        <v>7</v>
      </c>
      <c r="ES155" s="33"/>
      <c r="ET155" s="33" t="s">
        <v>5</v>
      </c>
      <c r="EU155" s="33" t="s">
        <v>6</v>
      </c>
      <c r="EV155" s="33" t="s">
        <v>7</v>
      </c>
      <c r="EW155" s="33" t="s">
        <v>5</v>
      </c>
      <c r="EX155" s="33" t="s">
        <v>6</v>
      </c>
      <c r="EY155" s="33" t="s">
        <v>7</v>
      </c>
      <c r="EZ155" s="33" t="s">
        <v>5</v>
      </c>
      <c r="FA155" s="33" t="s">
        <v>6</v>
      </c>
      <c r="FB155" s="33" t="s">
        <v>7</v>
      </c>
      <c r="FC155" s="33" t="s">
        <v>5</v>
      </c>
      <c r="FD155" s="33" t="s">
        <v>6</v>
      </c>
      <c r="FE155" s="33" t="s">
        <v>7</v>
      </c>
      <c r="FF155" s="33"/>
      <c r="FG155" s="33"/>
      <c r="FH155" s="33"/>
    </row>
    <row r="156" spans="1:164" x14ac:dyDescent="0.35">
      <c r="A156" s="34" t="s">
        <v>4</v>
      </c>
      <c r="B156" s="40" t="s">
        <v>117</v>
      </c>
      <c r="C156" s="41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>
        <f t="shared" ref="P156:P194" si="1082">SUM(D156:O156)</f>
        <v>0</v>
      </c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>
        <f t="shared" ref="AC156:AC170" si="1083">SUM(Q156:AB156)</f>
        <v>0</v>
      </c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>
        <f t="shared" ref="AP156:AP194" si="1084">SUM(AD156:AO156)</f>
        <v>0</v>
      </c>
      <c r="AQ156" s="35">
        <f t="shared" ref="AQ156:AQ219" si="1085">+P156+AC156+AP156</f>
        <v>0</v>
      </c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>
        <f t="shared" ref="BD156:BD194" si="1086">SUM(AR156:BC156)</f>
        <v>0</v>
      </c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>
        <f t="shared" ref="BQ156:BQ194" si="1087">SUM(BE156:BP156)</f>
        <v>0</v>
      </c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>
        <f t="shared" ref="CD156:CD194" si="1088">SUM(BR156:CC156)</f>
        <v>0</v>
      </c>
      <c r="CE156" s="35">
        <f t="shared" ref="CE156:CE196" si="1089">+BD156+BQ156+CD156</f>
        <v>0</v>
      </c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>
        <f t="shared" ref="CR156:CR219" si="1090">SUM(CF156:CQ156)</f>
        <v>0</v>
      </c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>
        <f t="shared" ref="DE156:DE194" si="1091">SUM(CS156:DD156)</f>
        <v>0</v>
      </c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>
        <f t="shared" ref="DR156:DR219" si="1092">SUM(DF156:DQ156)</f>
        <v>0</v>
      </c>
      <c r="DS156" s="35">
        <f t="shared" ref="DS156:DS196" si="1093">+CR156+DE156+DR156</f>
        <v>0</v>
      </c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>
        <f t="shared" ref="EF156:EF219" si="1094">SUM(DT156:EE156)</f>
        <v>0</v>
      </c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>
        <f t="shared" ref="ES156:ES194" si="1095">SUM(EG156:ER156)</f>
        <v>0</v>
      </c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>
        <f t="shared" ref="FF156:FF219" si="1096">SUM(ET156:FE156)</f>
        <v>0</v>
      </c>
      <c r="FG156" s="35">
        <f t="shared" ref="FG156:FG196" si="1097">+EF156+ES156+FF156</f>
        <v>0</v>
      </c>
      <c r="FH156" s="35">
        <f t="shared" ref="FH156:FH219" si="1098">+AQ156+CE156+DS156+FG156</f>
        <v>0</v>
      </c>
    </row>
    <row r="157" spans="1:164" x14ac:dyDescent="0.35">
      <c r="A157" s="34"/>
      <c r="B157" s="40"/>
      <c r="C157" s="41" t="s">
        <v>134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>
        <f t="shared" si="1082"/>
        <v>0</v>
      </c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>
        <f t="shared" si="1083"/>
        <v>0</v>
      </c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>
        <f t="shared" si="1084"/>
        <v>0</v>
      </c>
      <c r="AQ157" s="35">
        <f t="shared" si="1085"/>
        <v>0</v>
      </c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>
        <f t="shared" si="1086"/>
        <v>0</v>
      </c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>
        <f t="shared" si="1087"/>
        <v>0</v>
      </c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>
        <f t="shared" si="1088"/>
        <v>0</v>
      </c>
      <c r="CE157" s="35">
        <f t="shared" si="1089"/>
        <v>0</v>
      </c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>
        <f t="shared" si="1090"/>
        <v>0</v>
      </c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>
        <f t="shared" si="1091"/>
        <v>0</v>
      </c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>
        <f t="shared" si="1092"/>
        <v>0</v>
      </c>
      <c r="DS157" s="35">
        <f t="shared" si="1093"/>
        <v>0</v>
      </c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>
        <f t="shared" si="1094"/>
        <v>0</v>
      </c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>
        <f t="shared" si="1095"/>
        <v>0</v>
      </c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>
        <f t="shared" si="1096"/>
        <v>0</v>
      </c>
      <c r="FG157" s="35">
        <f t="shared" si="1097"/>
        <v>0</v>
      </c>
      <c r="FH157" s="35">
        <f t="shared" si="1098"/>
        <v>0</v>
      </c>
    </row>
    <row r="158" spans="1:164" x14ac:dyDescent="0.35">
      <c r="A158" s="34"/>
      <c r="B158" s="40"/>
      <c r="C158" s="41" t="s">
        <v>135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>
        <f t="shared" si="1082"/>
        <v>0</v>
      </c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>
        <f t="shared" si="1083"/>
        <v>0</v>
      </c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>
        <f t="shared" si="1084"/>
        <v>0</v>
      </c>
      <c r="AQ158" s="35">
        <f t="shared" si="1085"/>
        <v>0</v>
      </c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>
        <f t="shared" si="1086"/>
        <v>0</v>
      </c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>
        <f t="shared" si="1087"/>
        <v>0</v>
      </c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>
        <f t="shared" si="1088"/>
        <v>0</v>
      </c>
      <c r="CE158" s="35">
        <f t="shared" si="1089"/>
        <v>0</v>
      </c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>
        <f t="shared" si="1090"/>
        <v>0</v>
      </c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>
        <f t="shared" si="1091"/>
        <v>0</v>
      </c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>
        <f t="shared" si="1092"/>
        <v>0</v>
      </c>
      <c r="DS158" s="35">
        <f t="shared" si="1093"/>
        <v>0</v>
      </c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>
        <f t="shared" si="1094"/>
        <v>0</v>
      </c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>
        <f t="shared" si="1095"/>
        <v>0</v>
      </c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>
        <f t="shared" si="1096"/>
        <v>0</v>
      </c>
      <c r="FG158" s="35">
        <f t="shared" si="1097"/>
        <v>0</v>
      </c>
      <c r="FH158" s="35">
        <f t="shared" si="1098"/>
        <v>0</v>
      </c>
    </row>
    <row r="159" spans="1:164" x14ac:dyDescent="0.35">
      <c r="A159" s="34"/>
      <c r="B159" s="40"/>
      <c r="C159" s="54" t="s">
        <v>136</v>
      </c>
      <c r="D159" s="35">
        <v>5600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>
        <f t="shared" si="1082"/>
        <v>5600</v>
      </c>
      <c r="Q159" s="35">
        <v>5600</v>
      </c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>
        <f t="shared" si="1083"/>
        <v>5600</v>
      </c>
      <c r="AD159" s="35">
        <v>5600</v>
      </c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>
        <f t="shared" si="1084"/>
        <v>5600</v>
      </c>
      <c r="AQ159" s="35">
        <f t="shared" si="1085"/>
        <v>16800</v>
      </c>
      <c r="AR159" s="35">
        <v>5600</v>
      </c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>
        <f t="shared" si="1086"/>
        <v>5600</v>
      </c>
      <c r="BE159" s="35">
        <v>5600</v>
      </c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>
        <f t="shared" si="1087"/>
        <v>5600</v>
      </c>
      <c r="BR159" s="35">
        <v>5600</v>
      </c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>
        <f t="shared" si="1088"/>
        <v>5600</v>
      </c>
      <c r="CE159" s="35">
        <f t="shared" si="1089"/>
        <v>16800</v>
      </c>
      <c r="CF159" s="35">
        <v>5600</v>
      </c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>
        <f t="shared" si="1090"/>
        <v>5600</v>
      </c>
      <c r="CS159" s="35">
        <v>5600</v>
      </c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>
        <f t="shared" si="1091"/>
        <v>5600</v>
      </c>
      <c r="DF159" s="35">
        <v>5600</v>
      </c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>
        <f t="shared" si="1092"/>
        <v>5600</v>
      </c>
      <c r="DS159" s="35">
        <f t="shared" si="1093"/>
        <v>16800</v>
      </c>
      <c r="DT159" s="35">
        <v>5600</v>
      </c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>
        <f t="shared" si="1094"/>
        <v>5600</v>
      </c>
      <c r="EG159" s="35">
        <v>5600</v>
      </c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>
        <f t="shared" si="1095"/>
        <v>5600</v>
      </c>
      <c r="ET159" s="35">
        <v>5600</v>
      </c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>
        <f t="shared" si="1096"/>
        <v>5600</v>
      </c>
      <c r="FG159" s="35">
        <f t="shared" si="1097"/>
        <v>16800</v>
      </c>
      <c r="FH159" s="35">
        <f t="shared" si="1098"/>
        <v>67200</v>
      </c>
    </row>
    <row r="160" spans="1:164" x14ac:dyDescent="0.35">
      <c r="A160" s="34"/>
      <c r="B160" s="40"/>
      <c r="C160" s="54" t="s">
        <v>137</v>
      </c>
      <c r="D160" s="35">
        <v>5600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>
        <f t="shared" si="1082"/>
        <v>5600</v>
      </c>
      <c r="Q160" s="35">
        <v>5600</v>
      </c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>
        <f t="shared" si="1083"/>
        <v>5600</v>
      </c>
      <c r="AD160" s="35">
        <v>5600</v>
      </c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>
        <f t="shared" si="1084"/>
        <v>5600</v>
      </c>
      <c r="AQ160" s="35">
        <f t="shared" si="1085"/>
        <v>16800</v>
      </c>
      <c r="AR160" s="35">
        <v>5600</v>
      </c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>
        <f t="shared" si="1086"/>
        <v>5600</v>
      </c>
      <c r="BE160" s="35">
        <v>5600</v>
      </c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>
        <f t="shared" si="1087"/>
        <v>5600</v>
      </c>
      <c r="BR160" s="35">
        <v>5600</v>
      </c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>
        <f t="shared" si="1088"/>
        <v>5600</v>
      </c>
      <c r="CE160" s="35">
        <f t="shared" si="1089"/>
        <v>16800</v>
      </c>
      <c r="CF160" s="35">
        <v>5600</v>
      </c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>
        <f t="shared" si="1090"/>
        <v>5600</v>
      </c>
      <c r="CS160" s="35">
        <v>5600</v>
      </c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>
        <f t="shared" si="1091"/>
        <v>5600</v>
      </c>
      <c r="DF160" s="35">
        <v>5600</v>
      </c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>
        <f t="shared" si="1092"/>
        <v>5600</v>
      </c>
      <c r="DS160" s="35">
        <f t="shared" si="1093"/>
        <v>16800</v>
      </c>
      <c r="DT160" s="35">
        <v>5600</v>
      </c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>
        <f t="shared" si="1094"/>
        <v>5600</v>
      </c>
      <c r="EG160" s="35">
        <v>5600</v>
      </c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>
        <f t="shared" si="1095"/>
        <v>5600</v>
      </c>
      <c r="ET160" s="35">
        <v>5600</v>
      </c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>
        <f t="shared" si="1096"/>
        <v>5600</v>
      </c>
      <c r="FG160" s="35">
        <f t="shared" si="1097"/>
        <v>16800</v>
      </c>
      <c r="FH160" s="35">
        <f t="shared" si="1098"/>
        <v>67200</v>
      </c>
    </row>
    <row r="161" spans="1:164" x14ac:dyDescent="0.35">
      <c r="A161" s="34"/>
      <c r="B161" s="40"/>
      <c r="C161" s="41" t="s">
        <v>138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>
        <f t="shared" si="1082"/>
        <v>0</v>
      </c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>
        <f t="shared" si="1083"/>
        <v>0</v>
      </c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>
        <f t="shared" si="1084"/>
        <v>0</v>
      </c>
      <c r="AQ161" s="35">
        <f t="shared" si="1085"/>
        <v>0</v>
      </c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>
        <f t="shared" si="1086"/>
        <v>0</v>
      </c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>
        <f t="shared" si="1087"/>
        <v>0</v>
      </c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>
        <f t="shared" si="1088"/>
        <v>0</v>
      </c>
      <c r="CE161" s="35">
        <f t="shared" si="1089"/>
        <v>0</v>
      </c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>
        <f t="shared" si="1090"/>
        <v>0</v>
      </c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>
        <f t="shared" si="1091"/>
        <v>0</v>
      </c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>
        <f t="shared" si="1092"/>
        <v>0</v>
      </c>
      <c r="DS161" s="35">
        <f t="shared" si="1093"/>
        <v>0</v>
      </c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>
        <f t="shared" si="1094"/>
        <v>0</v>
      </c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>
        <f t="shared" si="1095"/>
        <v>0</v>
      </c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>
        <f t="shared" si="1096"/>
        <v>0</v>
      </c>
      <c r="FG161" s="35">
        <f t="shared" si="1097"/>
        <v>0</v>
      </c>
      <c r="FH161" s="35">
        <f t="shared" si="1098"/>
        <v>0</v>
      </c>
    </row>
    <row r="162" spans="1:164" x14ac:dyDescent="0.35">
      <c r="A162" s="34"/>
      <c r="B162" s="40"/>
      <c r="C162" s="41" t="s">
        <v>139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>
        <f t="shared" si="1082"/>
        <v>0</v>
      </c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>
        <f t="shared" si="1083"/>
        <v>0</v>
      </c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>
        <f t="shared" si="1084"/>
        <v>0</v>
      </c>
      <c r="AQ162" s="35">
        <f t="shared" si="1085"/>
        <v>0</v>
      </c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>
        <f t="shared" si="1086"/>
        <v>0</v>
      </c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>
        <f t="shared" si="1087"/>
        <v>0</v>
      </c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>
        <f t="shared" si="1088"/>
        <v>0</v>
      </c>
      <c r="CE162" s="35">
        <f t="shared" si="1089"/>
        <v>0</v>
      </c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>
        <f t="shared" si="1090"/>
        <v>0</v>
      </c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>
        <f t="shared" si="1091"/>
        <v>0</v>
      </c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>
        <f t="shared" si="1092"/>
        <v>0</v>
      </c>
      <c r="DS162" s="35">
        <f t="shared" si="1093"/>
        <v>0</v>
      </c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>
        <f t="shared" si="1094"/>
        <v>0</v>
      </c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>
        <f t="shared" si="1095"/>
        <v>0</v>
      </c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>
        <f t="shared" si="1096"/>
        <v>0</v>
      </c>
      <c r="FG162" s="35">
        <f t="shared" si="1097"/>
        <v>0</v>
      </c>
      <c r="FH162" s="35">
        <f t="shared" si="1098"/>
        <v>0</v>
      </c>
    </row>
    <row r="163" spans="1:164" x14ac:dyDescent="0.35">
      <c r="A163" s="34"/>
      <c r="B163" s="40"/>
      <c r="C163" s="41" t="s">
        <v>140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>
        <f t="shared" si="1082"/>
        <v>0</v>
      </c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>
        <f t="shared" si="1083"/>
        <v>0</v>
      </c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>
        <f t="shared" si="1084"/>
        <v>0</v>
      </c>
      <c r="AQ163" s="35">
        <f t="shared" si="1085"/>
        <v>0</v>
      </c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>
        <f t="shared" si="1086"/>
        <v>0</v>
      </c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>
        <f t="shared" si="1087"/>
        <v>0</v>
      </c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>
        <f t="shared" si="1088"/>
        <v>0</v>
      </c>
      <c r="CE163" s="35">
        <f t="shared" si="1089"/>
        <v>0</v>
      </c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>
        <f t="shared" si="1090"/>
        <v>0</v>
      </c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>
        <f t="shared" si="1091"/>
        <v>0</v>
      </c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>
        <f t="shared" si="1092"/>
        <v>0</v>
      </c>
      <c r="DS163" s="35">
        <f t="shared" si="1093"/>
        <v>0</v>
      </c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>
        <f t="shared" si="1094"/>
        <v>0</v>
      </c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>
        <f t="shared" si="1095"/>
        <v>0</v>
      </c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>
        <f t="shared" si="1096"/>
        <v>0</v>
      </c>
      <c r="FG163" s="35">
        <f t="shared" si="1097"/>
        <v>0</v>
      </c>
      <c r="FH163" s="35">
        <f t="shared" si="1098"/>
        <v>0</v>
      </c>
    </row>
    <row r="164" spans="1:164" x14ac:dyDescent="0.35">
      <c r="A164" s="34"/>
      <c r="B164" s="40"/>
      <c r="C164" s="41" t="s">
        <v>141</v>
      </c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>
        <f t="shared" si="1082"/>
        <v>0</v>
      </c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>
        <f t="shared" si="1083"/>
        <v>0</v>
      </c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>
        <f t="shared" si="1084"/>
        <v>0</v>
      </c>
      <c r="AQ164" s="35">
        <f t="shared" si="1085"/>
        <v>0</v>
      </c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>
        <f t="shared" si="1086"/>
        <v>0</v>
      </c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>
        <f t="shared" si="1087"/>
        <v>0</v>
      </c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>
        <f t="shared" si="1088"/>
        <v>0</v>
      </c>
      <c r="CE164" s="35">
        <f t="shared" si="1089"/>
        <v>0</v>
      </c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>
        <f t="shared" si="1090"/>
        <v>0</v>
      </c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>
        <f t="shared" si="1091"/>
        <v>0</v>
      </c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>
        <f t="shared" si="1092"/>
        <v>0</v>
      </c>
      <c r="DS164" s="35">
        <f t="shared" si="1093"/>
        <v>0</v>
      </c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>
        <f t="shared" si="1094"/>
        <v>0</v>
      </c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>
        <f t="shared" si="1095"/>
        <v>0</v>
      </c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>
        <f t="shared" si="1096"/>
        <v>0</v>
      </c>
      <c r="FG164" s="35">
        <f t="shared" si="1097"/>
        <v>0</v>
      </c>
      <c r="FH164" s="35">
        <f t="shared" si="1098"/>
        <v>0</v>
      </c>
    </row>
    <row r="165" spans="1:164" x14ac:dyDescent="0.35">
      <c r="A165" s="34"/>
      <c r="B165" s="40"/>
      <c r="C165" s="41" t="s">
        <v>229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>
        <f t="shared" si="1082"/>
        <v>0</v>
      </c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>
        <f t="shared" si="1083"/>
        <v>0</v>
      </c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>
        <f t="shared" si="1084"/>
        <v>0</v>
      </c>
      <c r="AQ165" s="35">
        <f t="shared" si="1085"/>
        <v>0</v>
      </c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>
        <f t="shared" si="1086"/>
        <v>0</v>
      </c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>
        <f t="shared" si="1087"/>
        <v>0</v>
      </c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>
        <f t="shared" si="1088"/>
        <v>0</v>
      </c>
      <c r="CE165" s="35">
        <f t="shared" si="1089"/>
        <v>0</v>
      </c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>
        <f t="shared" si="1090"/>
        <v>0</v>
      </c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>
        <f t="shared" si="1091"/>
        <v>0</v>
      </c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>
        <f t="shared" si="1092"/>
        <v>0</v>
      </c>
      <c r="DS165" s="35">
        <f t="shared" si="1093"/>
        <v>0</v>
      </c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>
        <f t="shared" si="1094"/>
        <v>0</v>
      </c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>
        <f t="shared" si="1095"/>
        <v>0</v>
      </c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>
        <f t="shared" si="1096"/>
        <v>0</v>
      </c>
      <c r="FG165" s="35">
        <f t="shared" si="1097"/>
        <v>0</v>
      </c>
      <c r="FH165" s="35">
        <f t="shared" si="1098"/>
        <v>0</v>
      </c>
    </row>
    <row r="166" spans="1:164" x14ac:dyDescent="0.35">
      <c r="A166" s="34"/>
      <c r="B166" s="40"/>
      <c r="C166" s="41" t="s">
        <v>142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>
        <f t="shared" si="1082"/>
        <v>0</v>
      </c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>
        <f t="shared" si="1083"/>
        <v>0</v>
      </c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>
        <f t="shared" si="1084"/>
        <v>0</v>
      </c>
      <c r="AQ166" s="35">
        <f t="shared" si="1085"/>
        <v>0</v>
      </c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>
        <f t="shared" si="1086"/>
        <v>0</v>
      </c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>
        <f t="shared" si="1087"/>
        <v>0</v>
      </c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>
        <f t="shared" si="1088"/>
        <v>0</v>
      </c>
      <c r="CE166" s="35">
        <f t="shared" si="1089"/>
        <v>0</v>
      </c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>
        <f t="shared" si="1090"/>
        <v>0</v>
      </c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>
        <f t="shared" si="1091"/>
        <v>0</v>
      </c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>
        <f t="shared" si="1092"/>
        <v>0</v>
      </c>
      <c r="DS166" s="35">
        <f t="shared" si="1093"/>
        <v>0</v>
      </c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>
        <f t="shared" si="1094"/>
        <v>0</v>
      </c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>
        <f t="shared" si="1095"/>
        <v>0</v>
      </c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>
        <f t="shared" si="1096"/>
        <v>0</v>
      </c>
      <c r="FG166" s="35">
        <f t="shared" si="1097"/>
        <v>0</v>
      </c>
      <c r="FH166" s="35">
        <f t="shared" si="1098"/>
        <v>0</v>
      </c>
    </row>
    <row r="167" spans="1:164" x14ac:dyDescent="0.35">
      <c r="A167" s="34"/>
      <c r="B167" s="40"/>
      <c r="C167" s="54" t="s">
        <v>143</v>
      </c>
      <c r="D167" s="35">
        <v>5600</v>
      </c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>
        <f t="shared" si="1082"/>
        <v>5600</v>
      </c>
      <c r="Q167" s="35">
        <v>5600</v>
      </c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>
        <f t="shared" si="1083"/>
        <v>5600</v>
      </c>
      <c r="AD167" s="35">
        <v>5600</v>
      </c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>
        <f t="shared" si="1084"/>
        <v>5600</v>
      </c>
      <c r="AQ167" s="35">
        <f t="shared" si="1085"/>
        <v>16800</v>
      </c>
      <c r="AR167" s="35">
        <v>5600</v>
      </c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>
        <f t="shared" si="1086"/>
        <v>5600</v>
      </c>
      <c r="BE167" s="35">
        <v>5600</v>
      </c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>
        <f t="shared" si="1087"/>
        <v>5600</v>
      </c>
      <c r="BR167" s="35">
        <v>5600</v>
      </c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>
        <f t="shared" si="1088"/>
        <v>5600</v>
      </c>
      <c r="CE167" s="35">
        <f t="shared" si="1089"/>
        <v>16800</v>
      </c>
      <c r="CF167" s="35">
        <v>5600</v>
      </c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>
        <f t="shared" si="1090"/>
        <v>5600</v>
      </c>
      <c r="CS167" s="35">
        <v>5600</v>
      </c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>
        <f t="shared" si="1091"/>
        <v>5600</v>
      </c>
      <c r="DF167" s="35">
        <v>5600</v>
      </c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>
        <f t="shared" si="1092"/>
        <v>5600</v>
      </c>
      <c r="DS167" s="35">
        <f t="shared" si="1093"/>
        <v>16800</v>
      </c>
      <c r="DT167" s="35">
        <v>5600</v>
      </c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>
        <f t="shared" si="1094"/>
        <v>5600</v>
      </c>
      <c r="EG167" s="35">
        <v>5600</v>
      </c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>
        <f t="shared" si="1095"/>
        <v>5600</v>
      </c>
      <c r="ET167" s="35">
        <v>5600</v>
      </c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>
        <f t="shared" si="1096"/>
        <v>5600</v>
      </c>
      <c r="FG167" s="35">
        <f t="shared" si="1097"/>
        <v>16800</v>
      </c>
      <c r="FH167" s="35">
        <f t="shared" si="1098"/>
        <v>67200</v>
      </c>
    </row>
    <row r="168" spans="1:164" x14ac:dyDescent="0.35">
      <c r="A168" s="34"/>
      <c r="B168" s="40"/>
      <c r="C168" s="41" t="s">
        <v>144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>
        <f t="shared" si="1082"/>
        <v>0</v>
      </c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>
        <f t="shared" si="1083"/>
        <v>0</v>
      </c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>
        <f t="shared" si="1084"/>
        <v>0</v>
      </c>
      <c r="AQ168" s="35">
        <f t="shared" si="1085"/>
        <v>0</v>
      </c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>
        <f t="shared" si="1086"/>
        <v>0</v>
      </c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>
        <f t="shared" si="1087"/>
        <v>0</v>
      </c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>
        <f t="shared" si="1088"/>
        <v>0</v>
      </c>
      <c r="CE168" s="35">
        <f t="shared" si="1089"/>
        <v>0</v>
      </c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>
        <f t="shared" si="1090"/>
        <v>0</v>
      </c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>
        <f t="shared" si="1091"/>
        <v>0</v>
      </c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>
        <f t="shared" si="1092"/>
        <v>0</v>
      </c>
      <c r="DS168" s="35">
        <f t="shared" si="1093"/>
        <v>0</v>
      </c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>
        <f t="shared" si="1094"/>
        <v>0</v>
      </c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>
        <f t="shared" si="1095"/>
        <v>0</v>
      </c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>
        <f t="shared" si="1096"/>
        <v>0</v>
      </c>
      <c r="FG168" s="35">
        <f t="shared" si="1097"/>
        <v>0</v>
      </c>
      <c r="FH168" s="35">
        <f t="shared" si="1098"/>
        <v>0</v>
      </c>
    </row>
    <row r="169" spans="1:164" x14ac:dyDescent="0.35">
      <c r="A169" s="34"/>
      <c r="B169" s="40"/>
      <c r="C169" s="41" t="s">
        <v>145</v>
      </c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>
        <f t="shared" si="1082"/>
        <v>0</v>
      </c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>
        <f t="shared" si="1083"/>
        <v>0</v>
      </c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>
        <f t="shared" si="1084"/>
        <v>0</v>
      </c>
      <c r="AQ169" s="35">
        <f t="shared" si="1085"/>
        <v>0</v>
      </c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>
        <f t="shared" si="1086"/>
        <v>0</v>
      </c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>
        <f t="shared" si="1087"/>
        <v>0</v>
      </c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>
        <f t="shared" si="1088"/>
        <v>0</v>
      </c>
      <c r="CE169" s="35">
        <f t="shared" si="1089"/>
        <v>0</v>
      </c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>
        <f t="shared" si="1090"/>
        <v>0</v>
      </c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>
        <f t="shared" si="1091"/>
        <v>0</v>
      </c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>
        <f t="shared" si="1092"/>
        <v>0</v>
      </c>
      <c r="DS169" s="35">
        <f t="shared" si="1093"/>
        <v>0</v>
      </c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>
        <f t="shared" si="1094"/>
        <v>0</v>
      </c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>
        <f t="shared" si="1095"/>
        <v>0</v>
      </c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>
        <f t="shared" si="1096"/>
        <v>0</v>
      </c>
      <c r="FG169" s="35">
        <f t="shared" si="1097"/>
        <v>0</v>
      </c>
      <c r="FH169" s="35">
        <f t="shared" si="1098"/>
        <v>0</v>
      </c>
    </row>
    <row r="170" spans="1:164" x14ac:dyDescent="0.35">
      <c r="A170" s="34"/>
      <c r="B170" s="40"/>
      <c r="C170" s="41" t="s">
        <v>146</v>
      </c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>
        <f t="shared" si="1082"/>
        <v>0</v>
      </c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>
        <f t="shared" si="1083"/>
        <v>0</v>
      </c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>
        <f t="shared" si="1084"/>
        <v>0</v>
      </c>
      <c r="AQ170" s="35">
        <f t="shared" si="1085"/>
        <v>0</v>
      </c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>
        <f t="shared" si="1086"/>
        <v>0</v>
      </c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>
        <f t="shared" si="1087"/>
        <v>0</v>
      </c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>
        <f t="shared" si="1088"/>
        <v>0</v>
      </c>
      <c r="CE170" s="35">
        <f t="shared" si="1089"/>
        <v>0</v>
      </c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>
        <f t="shared" si="1090"/>
        <v>0</v>
      </c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>
        <f t="shared" si="1091"/>
        <v>0</v>
      </c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>
        <f t="shared" si="1092"/>
        <v>0</v>
      </c>
      <c r="DS170" s="35">
        <f t="shared" si="1093"/>
        <v>0</v>
      </c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>
        <f t="shared" si="1094"/>
        <v>0</v>
      </c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>
        <f t="shared" si="1095"/>
        <v>0</v>
      </c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>
        <f t="shared" si="1096"/>
        <v>0</v>
      </c>
      <c r="FG170" s="35">
        <f t="shared" si="1097"/>
        <v>0</v>
      </c>
      <c r="FH170" s="35">
        <f t="shared" si="1098"/>
        <v>0</v>
      </c>
    </row>
    <row r="171" spans="1:164" x14ac:dyDescent="0.35">
      <c r="A171" s="34"/>
      <c r="B171" s="40"/>
      <c r="C171" s="41" t="s">
        <v>147</v>
      </c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>
        <f t="shared" si="1082"/>
        <v>0</v>
      </c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>
        <f t="shared" ref="AC171:AC194" si="1099">SUM(Q171:AB171)</f>
        <v>0</v>
      </c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>
        <f t="shared" si="1084"/>
        <v>0</v>
      </c>
      <c r="AQ171" s="35">
        <f t="shared" si="1085"/>
        <v>0</v>
      </c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>
        <f t="shared" si="1086"/>
        <v>0</v>
      </c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>
        <f t="shared" si="1087"/>
        <v>0</v>
      </c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>
        <f t="shared" si="1088"/>
        <v>0</v>
      </c>
      <c r="CE171" s="35">
        <f t="shared" si="1089"/>
        <v>0</v>
      </c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>
        <f t="shared" si="1090"/>
        <v>0</v>
      </c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>
        <f t="shared" si="1091"/>
        <v>0</v>
      </c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>
        <f t="shared" si="1092"/>
        <v>0</v>
      </c>
      <c r="DS171" s="35">
        <f t="shared" si="1093"/>
        <v>0</v>
      </c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>
        <f t="shared" si="1094"/>
        <v>0</v>
      </c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>
        <f t="shared" si="1095"/>
        <v>0</v>
      </c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>
        <f t="shared" si="1096"/>
        <v>0</v>
      </c>
      <c r="FG171" s="35">
        <f t="shared" si="1097"/>
        <v>0</v>
      </c>
      <c r="FH171" s="35">
        <f t="shared" si="1098"/>
        <v>0</v>
      </c>
    </row>
    <row r="172" spans="1:164" x14ac:dyDescent="0.35">
      <c r="A172" s="34"/>
      <c r="B172" s="40"/>
      <c r="C172" s="41" t="s">
        <v>148</v>
      </c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>
        <f t="shared" si="1082"/>
        <v>0</v>
      </c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>
        <f t="shared" si="1099"/>
        <v>0</v>
      </c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>
        <f t="shared" si="1084"/>
        <v>0</v>
      </c>
      <c r="AQ172" s="35">
        <f t="shared" si="1085"/>
        <v>0</v>
      </c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>
        <f t="shared" si="1086"/>
        <v>0</v>
      </c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>
        <f t="shared" si="1087"/>
        <v>0</v>
      </c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>
        <f t="shared" si="1088"/>
        <v>0</v>
      </c>
      <c r="CE172" s="35">
        <f t="shared" si="1089"/>
        <v>0</v>
      </c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>
        <f t="shared" si="1090"/>
        <v>0</v>
      </c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>
        <f t="shared" si="1091"/>
        <v>0</v>
      </c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>
        <f t="shared" si="1092"/>
        <v>0</v>
      </c>
      <c r="DS172" s="35">
        <f t="shared" si="1093"/>
        <v>0</v>
      </c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>
        <f t="shared" si="1094"/>
        <v>0</v>
      </c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>
        <f t="shared" si="1095"/>
        <v>0</v>
      </c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>
        <f t="shared" si="1096"/>
        <v>0</v>
      </c>
      <c r="FG172" s="35">
        <f t="shared" si="1097"/>
        <v>0</v>
      </c>
      <c r="FH172" s="35">
        <f t="shared" si="1098"/>
        <v>0</v>
      </c>
    </row>
    <row r="173" spans="1:164" x14ac:dyDescent="0.35">
      <c r="A173" s="34"/>
      <c r="B173" s="40"/>
      <c r="C173" s="41" t="s">
        <v>149</v>
      </c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>
        <f t="shared" si="1082"/>
        <v>0</v>
      </c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>
        <f t="shared" si="1099"/>
        <v>0</v>
      </c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>
        <f t="shared" si="1084"/>
        <v>0</v>
      </c>
      <c r="AQ173" s="35">
        <f t="shared" si="1085"/>
        <v>0</v>
      </c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>
        <f t="shared" si="1086"/>
        <v>0</v>
      </c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>
        <f t="shared" si="1087"/>
        <v>0</v>
      </c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>
        <f t="shared" si="1088"/>
        <v>0</v>
      </c>
      <c r="CE173" s="35">
        <f t="shared" si="1089"/>
        <v>0</v>
      </c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>
        <f t="shared" si="1090"/>
        <v>0</v>
      </c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>
        <f t="shared" si="1091"/>
        <v>0</v>
      </c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>
        <f t="shared" si="1092"/>
        <v>0</v>
      </c>
      <c r="DS173" s="35">
        <f t="shared" si="1093"/>
        <v>0</v>
      </c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>
        <f t="shared" si="1094"/>
        <v>0</v>
      </c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>
        <f t="shared" si="1095"/>
        <v>0</v>
      </c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>
        <f t="shared" si="1096"/>
        <v>0</v>
      </c>
      <c r="FG173" s="35">
        <f t="shared" si="1097"/>
        <v>0</v>
      </c>
      <c r="FH173" s="35">
        <f t="shared" si="1098"/>
        <v>0</v>
      </c>
    </row>
    <row r="174" spans="1:164" x14ac:dyDescent="0.35">
      <c r="A174" s="34"/>
      <c r="B174" s="40"/>
      <c r="C174" s="41" t="s">
        <v>150</v>
      </c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>
        <f t="shared" si="1082"/>
        <v>0</v>
      </c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>
        <f t="shared" si="1099"/>
        <v>0</v>
      </c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>
        <f t="shared" si="1084"/>
        <v>0</v>
      </c>
      <c r="AQ174" s="35">
        <f t="shared" si="1085"/>
        <v>0</v>
      </c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>
        <f t="shared" si="1086"/>
        <v>0</v>
      </c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>
        <f t="shared" si="1087"/>
        <v>0</v>
      </c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>
        <f t="shared" si="1088"/>
        <v>0</v>
      </c>
      <c r="CE174" s="35">
        <f t="shared" si="1089"/>
        <v>0</v>
      </c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>
        <f t="shared" si="1090"/>
        <v>0</v>
      </c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>
        <f t="shared" si="1091"/>
        <v>0</v>
      </c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>
        <f t="shared" si="1092"/>
        <v>0</v>
      </c>
      <c r="DS174" s="35">
        <f t="shared" si="1093"/>
        <v>0</v>
      </c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>
        <f t="shared" si="1094"/>
        <v>0</v>
      </c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>
        <f t="shared" si="1095"/>
        <v>0</v>
      </c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>
        <f t="shared" si="1096"/>
        <v>0</v>
      </c>
      <c r="FG174" s="35">
        <f t="shared" si="1097"/>
        <v>0</v>
      </c>
      <c r="FH174" s="35">
        <f t="shared" si="1098"/>
        <v>0</v>
      </c>
    </row>
    <row r="175" spans="1:164" x14ac:dyDescent="0.35">
      <c r="A175" s="34"/>
      <c r="B175" s="40"/>
      <c r="C175" s="41" t="s">
        <v>151</v>
      </c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>
        <f t="shared" si="1082"/>
        <v>0</v>
      </c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>
        <f t="shared" si="1099"/>
        <v>0</v>
      </c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>
        <f t="shared" si="1084"/>
        <v>0</v>
      </c>
      <c r="AQ175" s="35">
        <f t="shared" si="1085"/>
        <v>0</v>
      </c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>
        <f t="shared" si="1086"/>
        <v>0</v>
      </c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>
        <f t="shared" si="1087"/>
        <v>0</v>
      </c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>
        <f t="shared" si="1088"/>
        <v>0</v>
      </c>
      <c r="CE175" s="35">
        <f t="shared" si="1089"/>
        <v>0</v>
      </c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>
        <f t="shared" si="1090"/>
        <v>0</v>
      </c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>
        <f t="shared" si="1091"/>
        <v>0</v>
      </c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>
        <f t="shared" si="1092"/>
        <v>0</v>
      </c>
      <c r="DS175" s="35">
        <f t="shared" si="1093"/>
        <v>0</v>
      </c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>
        <f t="shared" si="1094"/>
        <v>0</v>
      </c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>
        <f t="shared" si="1095"/>
        <v>0</v>
      </c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>
        <f t="shared" si="1096"/>
        <v>0</v>
      </c>
      <c r="FG175" s="35">
        <f t="shared" si="1097"/>
        <v>0</v>
      </c>
      <c r="FH175" s="35">
        <f t="shared" si="1098"/>
        <v>0</v>
      </c>
    </row>
    <row r="176" spans="1:164" x14ac:dyDescent="0.35">
      <c r="A176" s="34"/>
      <c r="B176" s="40"/>
      <c r="C176" s="41" t="s">
        <v>152</v>
      </c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>
        <f t="shared" si="1082"/>
        <v>0</v>
      </c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>
        <f t="shared" si="1099"/>
        <v>0</v>
      </c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>
        <f t="shared" si="1084"/>
        <v>0</v>
      </c>
      <c r="AQ176" s="35">
        <f t="shared" si="1085"/>
        <v>0</v>
      </c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>
        <f t="shared" si="1086"/>
        <v>0</v>
      </c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>
        <f t="shared" si="1087"/>
        <v>0</v>
      </c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>
        <f t="shared" si="1088"/>
        <v>0</v>
      </c>
      <c r="CE176" s="35">
        <f t="shared" si="1089"/>
        <v>0</v>
      </c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>
        <f t="shared" si="1090"/>
        <v>0</v>
      </c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>
        <f t="shared" si="1091"/>
        <v>0</v>
      </c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>
        <f t="shared" si="1092"/>
        <v>0</v>
      </c>
      <c r="DS176" s="35">
        <f t="shared" si="1093"/>
        <v>0</v>
      </c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>
        <f t="shared" si="1094"/>
        <v>0</v>
      </c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>
        <f t="shared" si="1095"/>
        <v>0</v>
      </c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>
        <f t="shared" si="1096"/>
        <v>0</v>
      </c>
      <c r="FG176" s="35">
        <f t="shared" si="1097"/>
        <v>0</v>
      </c>
      <c r="FH176" s="35">
        <f t="shared" si="1098"/>
        <v>0</v>
      </c>
    </row>
    <row r="177" spans="1:164" x14ac:dyDescent="0.35">
      <c r="A177" s="34"/>
      <c r="B177" s="40"/>
      <c r="C177" s="41" t="s">
        <v>153</v>
      </c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>
        <f t="shared" si="1082"/>
        <v>0</v>
      </c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>
        <f t="shared" si="1099"/>
        <v>0</v>
      </c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>
        <f t="shared" si="1084"/>
        <v>0</v>
      </c>
      <c r="AQ177" s="35">
        <f t="shared" si="1085"/>
        <v>0</v>
      </c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>
        <f t="shared" si="1086"/>
        <v>0</v>
      </c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>
        <f t="shared" si="1087"/>
        <v>0</v>
      </c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>
        <f t="shared" si="1088"/>
        <v>0</v>
      </c>
      <c r="CE177" s="35">
        <f t="shared" si="1089"/>
        <v>0</v>
      </c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>
        <f t="shared" si="1090"/>
        <v>0</v>
      </c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>
        <f t="shared" si="1091"/>
        <v>0</v>
      </c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>
        <f t="shared" si="1092"/>
        <v>0</v>
      </c>
      <c r="DS177" s="35">
        <f t="shared" si="1093"/>
        <v>0</v>
      </c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>
        <f t="shared" si="1094"/>
        <v>0</v>
      </c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>
        <f t="shared" si="1095"/>
        <v>0</v>
      </c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>
        <f t="shared" si="1096"/>
        <v>0</v>
      </c>
      <c r="FG177" s="35">
        <f t="shared" si="1097"/>
        <v>0</v>
      </c>
      <c r="FH177" s="35">
        <f t="shared" si="1098"/>
        <v>0</v>
      </c>
    </row>
    <row r="178" spans="1:164" x14ac:dyDescent="0.35">
      <c r="A178" s="34"/>
      <c r="B178" s="40"/>
      <c r="C178" s="41" t="s">
        <v>154</v>
      </c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>
        <f t="shared" si="1082"/>
        <v>0</v>
      </c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>
        <f t="shared" si="1099"/>
        <v>0</v>
      </c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>
        <f t="shared" si="1084"/>
        <v>0</v>
      </c>
      <c r="AQ178" s="35">
        <f t="shared" si="1085"/>
        <v>0</v>
      </c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>
        <f t="shared" si="1086"/>
        <v>0</v>
      </c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>
        <f t="shared" si="1087"/>
        <v>0</v>
      </c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>
        <f t="shared" si="1088"/>
        <v>0</v>
      </c>
      <c r="CE178" s="35">
        <f t="shared" si="1089"/>
        <v>0</v>
      </c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>
        <f t="shared" si="1090"/>
        <v>0</v>
      </c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>
        <f t="shared" si="1091"/>
        <v>0</v>
      </c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>
        <f t="shared" si="1092"/>
        <v>0</v>
      </c>
      <c r="DS178" s="35">
        <f t="shared" si="1093"/>
        <v>0</v>
      </c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>
        <f t="shared" si="1094"/>
        <v>0</v>
      </c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>
        <f t="shared" si="1095"/>
        <v>0</v>
      </c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>
        <f t="shared" si="1096"/>
        <v>0</v>
      </c>
      <c r="FG178" s="35">
        <f t="shared" si="1097"/>
        <v>0</v>
      </c>
      <c r="FH178" s="35">
        <f t="shared" si="1098"/>
        <v>0</v>
      </c>
    </row>
    <row r="179" spans="1:164" x14ac:dyDescent="0.35">
      <c r="A179" s="34"/>
      <c r="B179" s="40"/>
      <c r="C179" s="41" t="s">
        <v>155</v>
      </c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>
        <f t="shared" si="1082"/>
        <v>0</v>
      </c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>
        <f t="shared" si="1099"/>
        <v>0</v>
      </c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>
        <f t="shared" si="1084"/>
        <v>0</v>
      </c>
      <c r="AQ179" s="35">
        <f t="shared" si="1085"/>
        <v>0</v>
      </c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>
        <f t="shared" si="1086"/>
        <v>0</v>
      </c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>
        <f t="shared" si="1087"/>
        <v>0</v>
      </c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>
        <f t="shared" si="1088"/>
        <v>0</v>
      </c>
      <c r="CE179" s="35">
        <f t="shared" si="1089"/>
        <v>0</v>
      </c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>
        <f t="shared" si="1090"/>
        <v>0</v>
      </c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>
        <f t="shared" si="1091"/>
        <v>0</v>
      </c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>
        <f t="shared" si="1092"/>
        <v>0</v>
      </c>
      <c r="DS179" s="35">
        <f t="shared" si="1093"/>
        <v>0</v>
      </c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>
        <f t="shared" si="1094"/>
        <v>0</v>
      </c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>
        <f t="shared" si="1095"/>
        <v>0</v>
      </c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>
        <f t="shared" si="1096"/>
        <v>0</v>
      </c>
      <c r="FG179" s="35">
        <f t="shared" si="1097"/>
        <v>0</v>
      </c>
      <c r="FH179" s="35">
        <f t="shared" si="1098"/>
        <v>0</v>
      </c>
    </row>
    <row r="180" spans="1:164" x14ac:dyDescent="0.35">
      <c r="A180" s="34"/>
      <c r="B180" s="40"/>
      <c r="C180" s="41" t="s">
        <v>156</v>
      </c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>
        <f t="shared" si="1082"/>
        <v>0</v>
      </c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>
        <f t="shared" si="1099"/>
        <v>0</v>
      </c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>
        <f t="shared" si="1084"/>
        <v>0</v>
      </c>
      <c r="AQ180" s="35">
        <f t="shared" si="1085"/>
        <v>0</v>
      </c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>
        <f t="shared" si="1086"/>
        <v>0</v>
      </c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>
        <f t="shared" si="1087"/>
        <v>0</v>
      </c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>
        <f t="shared" si="1088"/>
        <v>0</v>
      </c>
      <c r="CE180" s="35">
        <f t="shared" si="1089"/>
        <v>0</v>
      </c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>
        <f t="shared" si="1090"/>
        <v>0</v>
      </c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>
        <f t="shared" si="1091"/>
        <v>0</v>
      </c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>
        <f t="shared" si="1092"/>
        <v>0</v>
      </c>
      <c r="DS180" s="35">
        <f t="shared" si="1093"/>
        <v>0</v>
      </c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>
        <f t="shared" si="1094"/>
        <v>0</v>
      </c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>
        <f t="shared" si="1095"/>
        <v>0</v>
      </c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>
        <f t="shared" si="1096"/>
        <v>0</v>
      </c>
      <c r="FG180" s="35">
        <f t="shared" si="1097"/>
        <v>0</v>
      </c>
      <c r="FH180" s="35">
        <f t="shared" si="1098"/>
        <v>0</v>
      </c>
    </row>
    <row r="181" spans="1:164" x14ac:dyDescent="0.35">
      <c r="A181" s="34"/>
      <c r="B181" s="40"/>
      <c r="C181" s="41" t="s">
        <v>157</v>
      </c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>
        <f t="shared" si="1082"/>
        <v>0</v>
      </c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>
        <f t="shared" si="1099"/>
        <v>0</v>
      </c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>
        <f t="shared" si="1084"/>
        <v>0</v>
      </c>
      <c r="AQ181" s="35">
        <f t="shared" si="1085"/>
        <v>0</v>
      </c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>
        <f t="shared" si="1086"/>
        <v>0</v>
      </c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>
        <f t="shared" si="1087"/>
        <v>0</v>
      </c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>
        <f t="shared" si="1088"/>
        <v>0</v>
      </c>
      <c r="CE181" s="35">
        <f t="shared" si="1089"/>
        <v>0</v>
      </c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>
        <f t="shared" si="1090"/>
        <v>0</v>
      </c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>
        <f t="shared" si="1091"/>
        <v>0</v>
      </c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>
        <f t="shared" si="1092"/>
        <v>0</v>
      </c>
      <c r="DS181" s="35">
        <f t="shared" si="1093"/>
        <v>0</v>
      </c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>
        <f t="shared" si="1094"/>
        <v>0</v>
      </c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>
        <f t="shared" si="1095"/>
        <v>0</v>
      </c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>
        <f t="shared" si="1096"/>
        <v>0</v>
      </c>
      <c r="FG181" s="35">
        <f t="shared" si="1097"/>
        <v>0</v>
      </c>
      <c r="FH181" s="35">
        <f t="shared" si="1098"/>
        <v>0</v>
      </c>
    </row>
    <row r="182" spans="1:164" x14ac:dyDescent="0.35">
      <c r="A182" s="34"/>
      <c r="B182" s="40"/>
      <c r="C182" s="41" t="s">
        <v>158</v>
      </c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>
        <f t="shared" si="1082"/>
        <v>0</v>
      </c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>
        <f t="shared" si="1099"/>
        <v>0</v>
      </c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>
        <f t="shared" si="1084"/>
        <v>0</v>
      </c>
      <c r="AQ182" s="35">
        <f t="shared" si="1085"/>
        <v>0</v>
      </c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>
        <f t="shared" si="1086"/>
        <v>0</v>
      </c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>
        <f t="shared" si="1087"/>
        <v>0</v>
      </c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>
        <f t="shared" si="1088"/>
        <v>0</v>
      </c>
      <c r="CE182" s="35">
        <f t="shared" si="1089"/>
        <v>0</v>
      </c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>
        <f t="shared" si="1090"/>
        <v>0</v>
      </c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>
        <f t="shared" si="1091"/>
        <v>0</v>
      </c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>
        <f t="shared" si="1092"/>
        <v>0</v>
      </c>
      <c r="DS182" s="35">
        <f t="shared" si="1093"/>
        <v>0</v>
      </c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>
        <f t="shared" si="1094"/>
        <v>0</v>
      </c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>
        <f t="shared" si="1095"/>
        <v>0</v>
      </c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>
        <f t="shared" si="1096"/>
        <v>0</v>
      </c>
      <c r="FG182" s="35">
        <f t="shared" si="1097"/>
        <v>0</v>
      </c>
      <c r="FH182" s="35">
        <f t="shared" si="1098"/>
        <v>0</v>
      </c>
    </row>
    <row r="183" spans="1:164" x14ac:dyDescent="0.35">
      <c r="A183" s="34"/>
      <c r="B183" s="40"/>
      <c r="C183" s="41" t="s">
        <v>159</v>
      </c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>
        <f t="shared" si="1082"/>
        <v>0</v>
      </c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>
        <f t="shared" si="1099"/>
        <v>0</v>
      </c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>
        <f t="shared" si="1084"/>
        <v>0</v>
      </c>
      <c r="AQ183" s="35">
        <f t="shared" si="1085"/>
        <v>0</v>
      </c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>
        <f t="shared" si="1086"/>
        <v>0</v>
      </c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>
        <f t="shared" si="1087"/>
        <v>0</v>
      </c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>
        <f t="shared" si="1088"/>
        <v>0</v>
      </c>
      <c r="CE183" s="35">
        <f t="shared" si="1089"/>
        <v>0</v>
      </c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>
        <f t="shared" si="1090"/>
        <v>0</v>
      </c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>
        <f t="shared" si="1091"/>
        <v>0</v>
      </c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>
        <f t="shared" si="1092"/>
        <v>0</v>
      </c>
      <c r="DS183" s="35">
        <f t="shared" si="1093"/>
        <v>0</v>
      </c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>
        <f t="shared" si="1094"/>
        <v>0</v>
      </c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>
        <f t="shared" si="1095"/>
        <v>0</v>
      </c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>
        <f t="shared" si="1096"/>
        <v>0</v>
      </c>
      <c r="FG183" s="35">
        <f t="shared" si="1097"/>
        <v>0</v>
      </c>
      <c r="FH183" s="35">
        <f t="shared" si="1098"/>
        <v>0</v>
      </c>
    </row>
    <row r="184" spans="1:164" x14ac:dyDescent="0.35">
      <c r="A184" s="34"/>
      <c r="B184" s="40"/>
      <c r="C184" s="41" t="s">
        <v>160</v>
      </c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>
        <f t="shared" si="1082"/>
        <v>0</v>
      </c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>
        <f t="shared" si="1099"/>
        <v>0</v>
      </c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>
        <f t="shared" si="1084"/>
        <v>0</v>
      </c>
      <c r="AQ184" s="35">
        <f t="shared" si="1085"/>
        <v>0</v>
      </c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>
        <f t="shared" si="1086"/>
        <v>0</v>
      </c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>
        <f t="shared" si="1087"/>
        <v>0</v>
      </c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>
        <f t="shared" si="1088"/>
        <v>0</v>
      </c>
      <c r="CE184" s="35">
        <f t="shared" si="1089"/>
        <v>0</v>
      </c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>
        <f t="shared" si="1090"/>
        <v>0</v>
      </c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>
        <f t="shared" si="1091"/>
        <v>0</v>
      </c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>
        <f t="shared" si="1092"/>
        <v>0</v>
      </c>
      <c r="DS184" s="35">
        <f t="shared" si="1093"/>
        <v>0</v>
      </c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>
        <f t="shared" si="1094"/>
        <v>0</v>
      </c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>
        <f t="shared" si="1095"/>
        <v>0</v>
      </c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>
        <f t="shared" si="1096"/>
        <v>0</v>
      </c>
      <c r="FG184" s="35">
        <f t="shared" si="1097"/>
        <v>0</v>
      </c>
      <c r="FH184" s="35">
        <f t="shared" si="1098"/>
        <v>0</v>
      </c>
    </row>
    <row r="185" spans="1:164" x14ac:dyDescent="0.35">
      <c r="A185" s="34"/>
      <c r="B185" s="40"/>
      <c r="C185" s="41" t="s">
        <v>161</v>
      </c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>
        <f t="shared" si="1082"/>
        <v>0</v>
      </c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>
        <f t="shared" si="1099"/>
        <v>0</v>
      </c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>
        <f t="shared" si="1084"/>
        <v>0</v>
      </c>
      <c r="AQ185" s="35">
        <f t="shared" si="1085"/>
        <v>0</v>
      </c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>
        <f t="shared" si="1086"/>
        <v>0</v>
      </c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>
        <f t="shared" si="1087"/>
        <v>0</v>
      </c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>
        <f t="shared" si="1088"/>
        <v>0</v>
      </c>
      <c r="CE185" s="35">
        <f t="shared" si="1089"/>
        <v>0</v>
      </c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>
        <f t="shared" si="1090"/>
        <v>0</v>
      </c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>
        <f t="shared" si="1091"/>
        <v>0</v>
      </c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>
        <f t="shared" si="1092"/>
        <v>0</v>
      </c>
      <c r="DS185" s="35">
        <f t="shared" si="1093"/>
        <v>0</v>
      </c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>
        <f t="shared" si="1094"/>
        <v>0</v>
      </c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>
        <f t="shared" si="1095"/>
        <v>0</v>
      </c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>
        <f t="shared" si="1096"/>
        <v>0</v>
      </c>
      <c r="FG185" s="35">
        <f t="shared" si="1097"/>
        <v>0</v>
      </c>
      <c r="FH185" s="35">
        <f t="shared" si="1098"/>
        <v>0</v>
      </c>
    </row>
    <row r="186" spans="1:164" x14ac:dyDescent="0.35">
      <c r="A186" s="34"/>
      <c r="B186" s="40"/>
      <c r="C186" s="54" t="s">
        <v>162</v>
      </c>
      <c r="D186" s="35">
        <v>5600</v>
      </c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>
        <f t="shared" si="1082"/>
        <v>5600</v>
      </c>
      <c r="Q186" s="35">
        <v>5600</v>
      </c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>
        <f t="shared" si="1099"/>
        <v>5600</v>
      </c>
      <c r="AD186" s="35">
        <v>5600</v>
      </c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>
        <f t="shared" si="1084"/>
        <v>5600</v>
      </c>
      <c r="AQ186" s="35">
        <f t="shared" si="1085"/>
        <v>16800</v>
      </c>
      <c r="AR186" s="35">
        <v>5600</v>
      </c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>
        <f t="shared" si="1086"/>
        <v>5600</v>
      </c>
      <c r="BE186" s="35">
        <v>5600</v>
      </c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>
        <f t="shared" si="1087"/>
        <v>5600</v>
      </c>
      <c r="BR186" s="35">
        <v>5600</v>
      </c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>
        <f t="shared" si="1088"/>
        <v>5600</v>
      </c>
      <c r="CE186" s="35">
        <f t="shared" si="1089"/>
        <v>16800</v>
      </c>
      <c r="CF186" s="35">
        <v>5600</v>
      </c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>
        <f t="shared" si="1090"/>
        <v>5600</v>
      </c>
      <c r="CS186" s="35">
        <v>5600</v>
      </c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>
        <f t="shared" si="1091"/>
        <v>5600</v>
      </c>
      <c r="DF186" s="35">
        <v>5600</v>
      </c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>
        <f t="shared" si="1092"/>
        <v>5600</v>
      </c>
      <c r="DS186" s="35">
        <f t="shared" si="1093"/>
        <v>16800</v>
      </c>
      <c r="DT186" s="35">
        <v>5600</v>
      </c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>
        <f t="shared" si="1094"/>
        <v>5600</v>
      </c>
      <c r="EG186" s="35">
        <v>5600</v>
      </c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>
        <f t="shared" si="1095"/>
        <v>5600</v>
      </c>
      <c r="ET186" s="35">
        <v>5600</v>
      </c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>
        <f t="shared" si="1096"/>
        <v>5600</v>
      </c>
      <c r="FG186" s="35">
        <f t="shared" si="1097"/>
        <v>16800</v>
      </c>
      <c r="FH186" s="35">
        <f t="shared" si="1098"/>
        <v>67200</v>
      </c>
    </row>
    <row r="187" spans="1:164" x14ac:dyDescent="0.35">
      <c r="A187" s="34"/>
      <c r="B187" s="40"/>
      <c r="C187" s="41" t="s">
        <v>163</v>
      </c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>
        <f t="shared" si="1082"/>
        <v>0</v>
      </c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>
        <f t="shared" si="1099"/>
        <v>0</v>
      </c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>
        <f t="shared" si="1084"/>
        <v>0</v>
      </c>
      <c r="AQ187" s="35">
        <f t="shared" si="1085"/>
        <v>0</v>
      </c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>
        <f t="shared" si="1086"/>
        <v>0</v>
      </c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>
        <f t="shared" si="1087"/>
        <v>0</v>
      </c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>
        <f t="shared" si="1088"/>
        <v>0</v>
      </c>
      <c r="CE187" s="35">
        <f t="shared" si="1089"/>
        <v>0</v>
      </c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>
        <f t="shared" si="1090"/>
        <v>0</v>
      </c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>
        <f t="shared" si="1091"/>
        <v>0</v>
      </c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>
        <f t="shared" si="1092"/>
        <v>0</v>
      </c>
      <c r="DS187" s="35">
        <f t="shared" si="1093"/>
        <v>0</v>
      </c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>
        <f t="shared" si="1094"/>
        <v>0</v>
      </c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>
        <f t="shared" si="1095"/>
        <v>0</v>
      </c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>
        <f t="shared" si="1096"/>
        <v>0</v>
      </c>
      <c r="FG187" s="35">
        <f t="shared" si="1097"/>
        <v>0</v>
      </c>
      <c r="FH187" s="35">
        <f t="shared" si="1098"/>
        <v>0</v>
      </c>
    </row>
    <row r="188" spans="1:164" x14ac:dyDescent="0.35">
      <c r="A188" s="34"/>
      <c r="B188" s="40"/>
      <c r="C188" s="41" t="s">
        <v>164</v>
      </c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>
        <f t="shared" si="1082"/>
        <v>0</v>
      </c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>
        <f t="shared" si="1099"/>
        <v>0</v>
      </c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>
        <f t="shared" si="1084"/>
        <v>0</v>
      </c>
      <c r="AQ188" s="35">
        <f t="shared" si="1085"/>
        <v>0</v>
      </c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>
        <f t="shared" si="1086"/>
        <v>0</v>
      </c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>
        <f t="shared" si="1087"/>
        <v>0</v>
      </c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>
        <f t="shared" si="1088"/>
        <v>0</v>
      </c>
      <c r="CE188" s="35">
        <f t="shared" si="1089"/>
        <v>0</v>
      </c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>
        <f t="shared" si="1090"/>
        <v>0</v>
      </c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>
        <f t="shared" si="1091"/>
        <v>0</v>
      </c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>
        <f t="shared" si="1092"/>
        <v>0</v>
      </c>
      <c r="DS188" s="35">
        <f t="shared" si="1093"/>
        <v>0</v>
      </c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>
        <f t="shared" si="1094"/>
        <v>0</v>
      </c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>
        <f t="shared" si="1095"/>
        <v>0</v>
      </c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>
        <f t="shared" si="1096"/>
        <v>0</v>
      </c>
      <c r="FG188" s="35">
        <f t="shared" si="1097"/>
        <v>0</v>
      </c>
      <c r="FH188" s="35">
        <f t="shared" si="1098"/>
        <v>0</v>
      </c>
    </row>
    <row r="189" spans="1:164" x14ac:dyDescent="0.35">
      <c r="A189" s="34"/>
      <c r="B189" s="40"/>
      <c r="C189" s="41" t="s">
        <v>165</v>
      </c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>
        <f t="shared" si="1082"/>
        <v>0</v>
      </c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>
        <f t="shared" si="1099"/>
        <v>0</v>
      </c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>
        <f t="shared" si="1084"/>
        <v>0</v>
      </c>
      <c r="AQ189" s="35">
        <f t="shared" si="1085"/>
        <v>0</v>
      </c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>
        <f t="shared" si="1086"/>
        <v>0</v>
      </c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>
        <f t="shared" si="1087"/>
        <v>0</v>
      </c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>
        <f t="shared" si="1088"/>
        <v>0</v>
      </c>
      <c r="CE189" s="35">
        <f t="shared" si="1089"/>
        <v>0</v>
      </c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>
        <f t="shared" si="1090"/>
        <v>0</v>
      </c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>
        <f t="shared" si="1091"/>
        <v>0</v>
      </c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>
        <f t="shared" si="1092"/>
        <v>0</v>
      </c>
      <c r="DS189" s="35">
        <f t="shared" si="1093"/>
        <v>0</v>
      </c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>
        <f t="shared" si="1094"/>
        <v>0</v>
      </c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>
        <f t="shared" si="1095"/>
        <v>0</v>
      </c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>
        <f t="shared" si="1096"/>
        <v>0</v>
      </c>
      <c r="FG189" s="35">
        <f t="shared" si="1097"/>
        <v>0</v>
      </c>
      <c r="FH189" s="35">
        <f t="shared" si="1098"/>
        <v>0</v>
      </c>
    </row>
    <row r="190" spans="1:164" x14ac:dyDescent="0.35">
      <c r="A190" s="34"/>
      <c r="B190" s="40"/>
      <c r="C190" s="41" t="s">
        <v>166</v>
      </c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>
        <f t="shared" si="1082"/>
        <v>0</v>
      </c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>
        <f t="shared" si="1099"/>
        <v>0</v>
      </c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>
        <f t="shared" si="1084"/>
        <v>0</v>
      </c>
      <c r="AQ190" s="35">
        <f t="shared" si="1085"/>
        <v>0</v>
      </c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>
        <f t="shared" si="1086"/>
        <v>0</v>
      </c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>
        <f t="shared" si="1087"/>
        <v>0</v>
      </c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>
        <f t="shared" si="1088"/>
        <v>0</v>
      </c>
      <c r="CE190" s="35">
        <f t="shared" si="1089"/>
        <v>0</v>
      </c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>
        <f t="shared" si="1090"/>
        <v>0</v>
      </c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>
        <f t="shared" si="1091"/>
        <v>0</v>
      </c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>
        <f t="shared" si="1092"/>
        <v>0</v>
      </c>
      <c r="DS190" s="35">
        <f t="shared" si="1093"/>
        <v>0</v>
      </c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>
        <f t="shared" si="1094"/>
        <v>0</v>
      </c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>
        <f t="shared" si="1095"/>
        <v>0</v>
      </c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>
        <f t="shared" si="1096"/>
        <v>0</v>
      </c>
      <c r="FG190" s="35">
        <f t="shared" si="1097"/>
        <v>0</v>
      </c>
      <c r="FH190" s="35">
        <f t="shared" si="1098"/>
        <v>0</v>
      </c>
    </row>
    <row r="191" spans="1:164" x14ac:dyDescent="0.35">
      <c r="A191" s="34"/>
      <c r="B191" s="40"/>
      <c r="C191" s="41" t="s">
        <v>167</v>
      </c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>
        <f t="shared" si="1082"/>
        <v>0</v>
      </c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>
        <f t="shared" si="1099"/>
        <v>0</v>
      </c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>
        <f t="shared" si="1084"/>
        <v>0</v>
      </c>
      <c r="AQ191" s="35">
        <f t="shared" si="1085"/>
        <v>0</v>
      </c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>
        <f t="shared" si="1086"/>
        <v>0</v>
      </c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>
        <f t="shared" si="1087"/>
        <v>0</v>
      </c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>
        <f t="shared" si="1088"/>
        <v>0</v>
      </c>
      <c r="CE191" s="35">
        <f t="shared" si="1089"/>
        <v>0</v>
      </c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>
        <f t="shared" si="1090"/>
        <v>0</v>
      </c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>
        <f t="shared" si="1091"/>
        <v>0</v>
      </c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>
        <f t="shared" si="1092"/>
        <v>0</v>
      </c>
      <c r="DS191" s="35">
        <f t="shared" si="1093"/>
        <v>0</v>
      </c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>
        <f t="shared" si="1094"/>
        <v>0</v>
      </c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>
        <f t="shared" si="1095"/>
        <v>0</v>
      </c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>
        <f t="shared" si="1096"/>
        <v>0</v>
      </c>
      <c r="FG191" s="35">
        <f t="shared" si="1097"/>
        <v>0</v>
      </c>
      <c r="FH191" s="35">
        <f t="shared" si="1098"/>
        <v>0</v>
      </c>
    </row>
    <row r="192" spans="1:164" x14ac:dyDescent="0.35">
      <c r="A192" s="34"/>
      <c r="B192" s="40"/>
      <c r="C192" s="41" t="s">
        <v>168</v>
      </c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>
        <f t="shared" si="1082"/>
        <v>0</v>
      </c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>
        <f t="shared" si="1099"/>
        <v>0</v>
      </c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>
        <f t="shared" si="1084"/>
        <v>0</v>
      </c>
      <c r="AQ192" s="35">
        <f t="shared" si="1085"/>
        <v>0</v>
      </c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>
        <f t="shared" si="1086"/>
        <v>0</v>
      </c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>
        <f t="shared" si="1087"/>
        <v>0</v>
      </c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>
        <f t="shared" si="1088"/>
        <v>0</v>
      </c>
      <c r="CE192" s="35">
        <f t="shared" si="1089"/>
        <v>0</v>
      </c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>
        <f t="shared" si="1090"/>
        <v>0</v>
      </c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>
        <f t="shared" si="1091"/>
        <v>0</v>
      </c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>
        <f t="shared" si="1092"/>
        <v>0</v>
      </c>
      <c r="DS192" s="35">
        <f t="shared" si="1093"/>
        <v>0</v>
      </c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>
        <f t="shared" si="1094"/>
        <v>0</v>
      </c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>
        <f t="shared" si="1095"/>
        <v>0</v>
      </c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>
        <f t="shared" si="1096"/>
        <v>0</v>
      </c>
      <c r="FG192" s="35">
        <f t="shared" si="1097"/>
        <v>0</v>
      </c>
      <c r="FH192" s="35">
        <f t="shared" si="1098"/>
        <v>0</v>
      </c>
    </row>
    <row r="193" spans="1:164" x14ac:dyDescent="0.35">
      <c r="A193" s="34"/>
      <c r="B193" s="40"/>
      <c r="C193" s="41" t="s">
        <v>169</v>
      </c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>
        <f t="shared" si="1082"/>
        <v>0</v>
      </c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>
        <f t="shared" si="1099"/>
        <v>0</v>
      </c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>
        <f t="shared" si="1084"/>
        <v>0</v>
      </c>
      <c r="AQ193" s="35">
        <f t="shared" si="1085"/>
        <v>0</v>
      </c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>
        <f t="shared" si="1086"/>
        <v>0</v>
      </c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>
        <f t="shared" si="1087"/>
        <v>0</v>
      </c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>
        <f t="shared" si="1088"/>
        <v>0</v>
      </c>
      <c r="CE193" s="35">
        <f t="shared" si="1089"/>
        <v>0</v>
      </c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>
        <f t="shared" si="1090"/>
        <v>0</v>
      </c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>
        <f t="shared" si="1091"/>
        <v>0</v>
      </c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>
        <f t="shared" si="1092"/>
        <v>0</v>
      </c>
      <c r="DS193" s="35">
        <f t="shared" si="1093"/>
        <v>0</v>
      </c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>
        <f t="shared" si="1094"/>
        <v>0</v>
      </c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>
        <f t="shared" si="1095"/>
        <v>0</v>
      </c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>
        <f t="shared" si="1096"/>
        <v>0</v>
      </c>
      <c r="FG193" s="35">
        <f t="shared" si="1097"/>
        <v>0</v>
      </c>
      <c r="FH193" s="35">
        <f t="shared" si="1098"/>
        <v>0</v>
      </c>
    </row>
    <row r="194" spans="1:164" x14ac:dyDescent="0.35">
      <c r="A194" s="34"/>
      <c r="B194" s="40"/>
      <c r="C194" s="41" t="s">
        <v>170</v>
      </c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>
        <f t="shared" si="1082"/>
        <v>0</v>
      </c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>
        <f t="shared" si="1099"/>
        <v>0</v>
      </c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>
        <f t="shared" si="1084"/>
        <v>0</v>
      </c>
      <c r="AQ194" s="35">
        <f t="shared" si="1085"/>
        <v>0</v>
      </c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>
        <f t="shared" si="1086"/>
        <v>0</v>
      </c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>
        <f t="shared" si="1087"/>
        <v>0</v>
      </c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>
        <f t="shared" si="1088"/>
        <v>0</v>
      </c>
      <c r="CE194" s="35">
        <f t="shared" si="1089"/>
        <v>0</v>
      </c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>
        <f t="shared" si="1090"/>
        <v>0</v>
      </c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>
        <f t="shared" si="1091"/>
        <v>0</v>
      </c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>
        <f t="shared" si="1092"/>
        <v>0</v>
      </c>
      <c r="DS194" s="35">
        <f t="shared" si="1093"/>
        <v>0</v>
      </c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>
        <f t="shared" si="1094"/>
        <v>0</v>
      </c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>
        <f t="shared" si="1095"/>
        <v>0</v>
      </c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>
        <f t="shared" si="1096"/>
        <v>0</v>
      </c>
      <c r="FG194" s="35">
        <f t="shared" si="1097"/>
        <v>0</v>
      </c>
      <c r="FH194" s="35">
        <f t="shared" si="1098"/>
        <v>0</v>
      </c>
    </row>
    <row r="195" spans="1:164" x14ac:dyDescent="0.35">
      <c r="A195" s="34"/>
      <c r="B195" s="40"/>
      <c r="C195" s="41" t="s">
        <v>242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>
        <f t="shared" ref="P195" si="1100">SUM(D195:O195)</f>
        <v>0</v>
      </c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>
        <f t="shared" ref="AC195" si="1101">SUM(Q195:AB195)</f>
        <v>0</v>
      </c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>
        <f t="shared" ref="AP195" si="1102">SUM(AD195:AO195)</f>
        <v>0</v>
      </c>
      <c r="AQ195" s="35">
        <f t="shared" si="1085"/>
        <v>0</v>
      </c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>
        <f t="shared" ref="BD195" si="1103">SUM(AR195:BC195)</f>
        <v>0</v>
      </c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>
        <f t="shared" ref="BQ195" si="1104">SUM(BE195:BP195)</f>
        <v>0</v>
      </c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>
        <f t="shared" ref="CD195" si="1105">SUM(BR195:CC195)</f>
        <v>0</v>
      </c>
      <c r="CE195" s="35">
        <f t="shared" si="1089"/>
        <v>0</v>
      </c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>
        <f t="shared" si="1090"/>
        <v>0</v>
      </c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>
        <f t="shared" ref="DE195" si="1106">SUM(CS195:DD195)</f>
        <v>0</v>
      </c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>
        <f t="shared" si="1092"/>
        <v>0</v>
      </c>
      <c r="DS195" s="35">
        <f t="shared" si="1093"/>
        <v>0</v>
      </c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>
        <f t="shared" si="1094"/>
        <v>0</v>
      </c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>
        <f t="shared" ref="ES195" si="1107">SUM(EG195:ER195)</f>
        <v>0</v>
      </c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>
        <f t="shared" si="1096"/>
        <v>0</v>
      </c>
      <c r="FG195" s="35">
        <f t="shared" si="1097"/>
        <v>0</v>
      </c>
      <c r="FH195" s="35">
        <f t="shared" si="1098"/>
        <v>0</v>
      </c>
    </row>
    <row r="196" spans="1:164" x14ac:dyDescent="0.35">
      <c r="A196" s="34"/>
      <c r="B196" s="40"/>
      <c r="C196" s="41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>
        <f t="shared" ref="P196:P197" si="1108">SUM(D196:O196)</f>
        <v>0</v>
      </c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>
        <f t="shared" ref="AC196:AC197" si="1109">SUM(Q196:AB196)</f>
        <v>0</v>
      </c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>
        <f t="shared" ref="AP196:AP197" si="1110">SUM(AD196:AO196)</f>
        <v>0</v>
      </c>
      <c r="AQ196" s="35">
        <f t="shared" si="1085"/>
        <v>0</v>
      </c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>
        <f t="shared" ref="BD196" si="1111">SUM(AR196:BC196)</f>
        <v>0</v>
      </c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>
        <f t="shared" ref="BQ196" si="1112">SUM(BE196:BP196)</f>
        <v>0</v>
      </c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>
        <f t="shared" ref="CD196:CD197" si="1113">SUM(BR196:CC196)</f>
        <v>0</v>
      </c>
      <c r="CE196" s="35">
        <f t="shared" si="1089"/>
        <v>0</v>
      </c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>
        <f t="shared" si="1090"/>
        <v>0</v>
      </c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>
        <f t="shared" ref="DE196" si="1114">SUM(CS196:DD196)</f>
        <v>0</v>
      </c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>
        <f t="shared" si="1092"/>
        <v>0</v>
      </c>
      <c r="DS196" s="35">
        <f t="shared" si="1093"/>
        <v>0</v>
      </c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>
        <f t="shared" si="1094"/>
        <v>0</v>
      </c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>
        <f t="shared" ref="ES196" si="1115">SUM(EG196:ER196)</f>
        <v>0</v>
      </c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>
        <f t="shared" si="1096"/>
        <v>0</v>
      </c>
      <c r="FG196" s="35">
        <f t="shared" si="1097"/>
        <v>0</v>
      </c>
      <c r="FH196" s="35">
        <f t="shared" si="1098"/>
        <v>0</v>
      </c>
    </row>
    <row r="197" spans="1:164" x14ac:dyDescent="0.35">
      <c r="A197" s="48"/>
      <c r="B197" s="49" t="s">
        <v>117</v>
      </c>
      <c r="C197" s="50"/>
      <c r="D197" s="51">
        <f>SUM(D157:D196)</f>
        <v>22400</v>
      </c>
      <c r="E197" s="51">
        <f t="shared" ref="E197:O197" si="1116">SUM(E157:E196)</f>
        <v>0</v>
      </c>
      <c r="F197" s="51">
        <f t="shared" si="1116"/>
        <v>0</v>
      </c>
      <c r="G197" s="51">
        <f t="shared" si="1116"/>
        <v>0</v>
      </c>
      <c r="H197" s="51">
        <f t="shared" si="1116"/>
        <v>0</v>
      </c>
      <c r="I197" s="51">
        <f t="shared" si="1116"/>
        <v>0</v>
      </c>
      <c r="J197" s="51">
        <f t="shared" si="1116"/>
        <v>0</v>
      </c>
      <c r="K197" s="51">
        <f t="shared" si="1116"/>
        <v>0</v>
      </c>
      <c r="L197" s="51">
        <f t="shared" si="1116"/>
        <v>0</v>
      </c>
      <c r="M197" s="51">
        <f t="shared" si="1116"/>
        <v>0</v>
      </c>
      <c r="N197" s="51">
        <f t="shared" si="1116"/>
        <v>0</v>
      </c>
      <c r="O197" s="51">
        <f t="shared" si="1116"/>
        <v>0</v>
      </c>
      <c r="P197" s="51">
        <f t="shared" si="1108"/>
        <v>22400</v>
      </c>
      <c r="Q197" s="51">
        <f>SUM(Q157:Q196)</f>
        <v>22400</v>
      </c>
      <c r="R197" s="51">
        <f t="shared" ref="R197:AB197" si="1117">SUM(R157:R196)</f>
        <v>0</v>
      </c>
      <c r="S197" s="51">
        <f t="shared" si="1117"/>
        <v>0</v>
      </c>
      <c r="T197" s="51">
        <f t="shared" si="1117"/>
        <v>0</v>
      </c>
      <c r="U197" s="51">
        <f t="shared" si="1117"/>
        <v>0</v>
      </c>
      <c r="V197" s="51">
        <f t="shared" si="1117"/>
        <v>0</v>
      </c>
      <c r="W197" s="51">
        <f t="shared" si="1117"/>
        <v>0</v>
      </c>
      <c r="X197" s="51">
        <f t="shared" si="1117"/>
        <v>0</v>
      </c>
      <c r="Y197" s="51">
        <f t="shared" si="1117"/>
        <v>0</v>
      </c>
      <c r="Z197" s="51">
        <f t="shared" si="1117"/>
        <v>0</v>
      </c>
      <c r="AA197" s="51">
        <f t="shared" si="1117"/>
        <v>0</v>
      </c>
      <c r="AB197" s="51">
        <f t="shared" si="1117"/>
        <v>0</v>
      </c>
      <c r="AC197" s="51">
        <f t="shared" si="1109"/>
        <v>22400</v>
      </c>
      <c r="AD197" s="51">
        <f>SUM(AD157:AD196)</f>
        <v>22400</v>
      </c>
      <c r="AE197" s="51">
        <f t="shared" ref="AE197:AO197" si="1118">SUM(AE157:AE196)</f>
        <v>0</v>
      </c>
      <c r="AF197" s="51">
        <f t="shared" si="1118"/>
        <v>0</v>
      </c>
      <c r="AG197" s="51">
        <f t="shared" si="1118"/>
        <v>0</v>
      </c>
      <c r="AH197" s="51">
        <f t="shared" si="1118"/>
        <v>0</v>
      </c>
      <c r="AI197" s="51">
        <f t="shared" si="1118"/>
        <v>0</v>
      </c>
      <c r="AJ197" s="51">
        <f t="shared" si="1118"/>
        <v>0</v>
      </c>
      <c r="AK197" s="51">
        <f t="shared" si="1118"/>
        <v>0</v>
      </c>
      <c r="AL197" s="51">
        <f t="shared" si="1118"/>
        <v>0</v>
      </c>
      <c r="AM197" s="51">
        <f t="shared" si="1118"/>
        <v>0</v>
      </c>
      <c r="AN197" s="51">
        <f t="shared" si="1118"/>
        <v>0</v>
      </c>
      <c r="AO197" s="51">
        <f t="shared" si="1118"/>
        <v>0</v>
      </c>
      <c r="AP197" s="51">
        <f t="shared" si="1110"/>
        <v>22400</v>
      </c>
      <c r="AQ197" s="51">
        <f t="shared" si="1085"/>
        <v>67200</v>
      </c>
      <c r="AR197" s="51">
        <f>SUM(AR157:AR196)</f>
        <v>22400</v>
      </c>
      <c r="AS197" s="51">
        <f t="shared" ref="AS197:BC197" si="1119">SUM(AS157:AS196)</f>
        <v>0</v>
      </c>
      <c r="AT197" s="51">
        <f t="shared" si="1119"/>
        <v>0</v>
      </c>
      <c r="AU197" s="51">
        <f t="shared" si="1119"/>
        <v>0</v>
      </c>
      <c r="AV197" s="51">
        <f t="shared" si="1119"/>
        <v>0</v>
      </c>
      <c r="AW197" s="51">
        <f t="shared" si="1119"/>
        <v>0</v>
      </c>
      <c r="AX197" s="51">
        <f t="shared" si="1119"/>
        <v>0</v>
      </c>
      <c r="AY197" s="51">
        <f t="shared" si="1119"/>
        <v>0</v>
      </c>
      <c r="AZ197" s="51">
        <f t="shared" si="1119"/>
        <v>0</v>
      </c>
      <c r="BA197" s="51">
        <f t="shared" si="1119"/>
        <v>0</v>
      </c>
      <c r="BB197" s="51">
        <f t="shared" si="1119"/>
        <v>0</v>
      </c>
      <c r="BC197" s="51">
        <f t="shared" si="1119"/>
        <v>0</v>
      </c>
      <c r="BD197" s="51">
        <f>SUM(AR197:BC197)</f>
        <v>22400</v>
      </c>
      <c r="BE197" s="51">
        <f>SUM(BE157:BE196)</f>
        <v>22400</v>
      </c>
      <c r="BF197" s="51">
        <f t="shared" ref="BF197:BP197" si="1120">SUM(BF157:BF196)</f>
        <v>0</v>
      </c>
      <c r="BG197" s="51">
        <f t="shared" si="1120"/>
        <v>0</v>
      </c>
      <c r="BH197" s="51">
        <f t="shared" si="1120"/>
        <v>0</v>
      </c>
      <c r="BI197" s="51">
        <f t="shared" si="1120"/>
        <v>0</v>
      </c>
      <c r="BJ197" s="51">
        <f t="shared" si="1120"/>
        <v>0</v>
      </c>
      <c r="BK197" s="51">
        <f t="shared" si="1120"/>
        <v>0</v>
      </c>
      <c r="BL197" s="51">
        <f t="shared" si="1120"/>
        <v>0</v>
      </c>
      <c r="BM197" s="51">
        <f t="shared" si="1120"/>
        <v>0</v>
      </c>
      <c r="BN197" s="51">
        <f t="shared" si="1120"/>
        <v>0</v>
      </c>
      <c r="BO197" s="51">
        <f t="shared" si="1120"/>
        <v>0</v>
      </c>
      <c r="BP197" s="51">
        <f t="shared" si="1120"/>
        <v>0</v>
      </c>
      <c r="BQ197" s="51">
        <f>SUM(BE197:BP197)</f>
        <v>22400</v>
      </c>
      <c r="BR197" s="51">
        <f>SUM(BR157:BR196)</f>
        <v>22400</v>
      </c>
      <c r="BS197" s="51">
        <f t="shared" ref="BS197:CC197" si="1121">SUM(BS157:BS196)</f>
        <v>0</v>
      </c>
      <c r="BT197" s="51">
        <f t="shared" si="1121"/>
        <v>0</v>
      </c>
      <c r="BU197" s="51">
        <f t="shared" si="1121"/>
        <v>0</v>
      </c>
      <c r="BV197" s="51">
        <f t="shared" si="1121"/>
        <v>0</v>
      </c>
      <c r="BW197" s="51">
        <f t="shared" si="1121"/>
        <v>0</v>
      </c>
      <c r="BX197" s="51">
        <f t="shared" si="1121"/>
        <v>0</v>
      </c>
      <c r="BY197" s="51">
        <f t="shared" si="1121"/>
        <v>0</v>
      </c>
      <c r="BZ197" s="51">
        <f t="shared" si="1121"/>
        <v>0</v>
      </c>
      <c r="CA197" s="51">
        <f t="shared" si="1121"/>
        <v>0</v>
      </c>
      <c r="CB197" s="51">
        <f t="shared" si="1121"/>
        <v>0</v>
      </c>
      <c r="CC197" s="51">
        <f t="shared" si="1121"/>
        <v>0</v>
      </c>
      <c r="CD197" s="51">
        <f t="shared" si="1113"/>
        <v>22400</v>
      </c>
      <c r="CE197" s="51">
        <f>+BD197+BQ197+CD197</f>
        <v>67200</v>
      </c>
      <c r="CF197" s="51">
        <f>SUM(CF157:CF196)</f>
        <v>22400</v>
      </c>
      <c r="CG197" s="51">
        <f t="shared" ref="CG197:CQ197" si="1122">SUM(CG157:CG196)</f>
        <v>0</v>
      </c>
      <c r="CH197" s="51">
        <f t="shared" si="1122"/>
        <v>0</v>
      </c>
      <c r="CI197" s="51">
        <f t="shared" si="1122"/>
        <v>0</v>
      </c>
      <c r="CJ197" s="51">
        <f t="shared" si="1122"/>
        <v>0</v>
      </c>
      <c r="CK197" s="51">
        <f t="shared" si="1122"/>
        <v>0</v>
      </c>
      <c r="CL197" s="51">
        <f t="shared" si="1122"/>
        <v>0</v>
      </c>
      <c r="CM197" s="51">
        <f t="shared" si="1122"/>
        <v>0</v>
      </c>
      <c r="CN197" s="51">
        <f t="shared" si="1122"/>
        <v>0</v>
      </c>
      <c r="CO197" s="51">
        <f t="shared" si="1122"/>
        <v>0</v>
      </c>
      <c r="CP197" s="51">
        <f t="shared" si="1122"/>
        <v>0</v>
      </c>
      <c r="CQ197" s="51">
        <f t="shared" si="1122"/>
        <v>0</v>
      </c>
      <c r="CR197" s="51">
        <f t="shared" si="1090"/>
        <v>22400</v>
      </c>
      <c r="CS197" s="51">
        <f>SUM(CS157:CS196)</f>
        <v>22400</v>
      </c>
      <c r="CT197" s="51">
        <f t="shared" ref="CT197:DD197" si="1123">SUM(CT157:CT196)</f>
        <v>0</v>
      </c>
      <c r="CU197" s="51">
        <f t="shared" si="1123"/>
        <v>0</v>
      </c>
      <c r="CV197" s="51">
        <f t="shared" si="1123"/>
        <v>0</v>
      </c>
      <c r="CW197" s="51">
        <f t="shared" si="1123"/>
        <v>0</v>
      </c>
      <c r="CX197" s="51">
        <f t="shared" si="1123"/>
        <v>0</v>
      </c>
      <c r="CY197" s="51">
        <f t="shared" si="1123"/>
        <v>0</v>
      </c>
      <c r="CZ197" s="51">
        <f t="shared" si="1123"/>
        <v>0</v>
      </c>
      <c r="DA197" s="51">
        <f t="shared" si="1123"/>
        <v>0</v>
      </c>
      <c r="DB197" s="51">
        <f t="shared" si="1123"/>
        <v>0</v>
      </c>
      <c r="DC197" s="51">
        <f t="shared" si="1123"/>
        <v>0</v>
      </c>
      <c r="DD197" s="51">
        <f t="shared" si="1123"/>
        <v>0</v>
      </c>
      <c r="DE197" s="51">
        <f>SUM(CS197:DD197)</f>
        <v>22400</v>
      </c>
      <c r="DF197" s="51">
        <f>SUM(DF157:DF196)</f>
        <v>22400</v>
      </c>
      <c r="DG197" s="51">
        <f t="shared" ref="DG197:DQ197" si="1124">SUM(DG157:DG196)</f>
        <v>0</v>
      </c>
      <c r="DH197" s="51">
        <f t="shared" si="1124"/>
        <v>0</v>
      </c>
      <c r="DI197" s="51">
        <f t="shared" si="1124"/>
        <v>0</v>
      </c>
      <c r="DJ197" s="51">
        <f t="shared" si="1124"/>
        <v>0</v>
      </c>
      <c r="DK197" s="51">
        <f t="shared" si="1124"/>
        <v>0</v>
      </c>
      <c r="DL197" s="51">
        <f t="shared" si="1124"/>
        <v>0</v>
      </c>
      <c r="DM197" s="51">
        <f t="shared" si="1124"/>
        <v>0</v>
      </c>
      <c r="DN197" s="51">
        <f t="shared" si="1124"/>
        <v>0</v>
      </c>
      <c r="DO197" s="51">
        <f t="shared" si="1124"/>
        <v>0</v>
      </c>
      <c r="DP197" s="51">
        <f t="shared" si="1124"/>
        <v>0</v>
      </c>
      <c r="DQ197" s="51">
        <f t="shared" si="1124"/>
        <v>0</v>
      </c>
      <c r="DR197" s="51">
        <f t="shared" si="1092"/>
        <v>22400</v>
      </c>
      <c r="DS197" s="51">
        <f>+CR197+DE197+DR197</f>
        <v>67200</v>
      </c>
      <c r="DT197" s="51">
        <f>SUM(DT157:DT196)</f>
        <v>22400</v>
      </c>
      <c r="DU197" s="51">
        <f t="shared" ref="DU197:EE197" si="1125">SUM(DU157:DU196)</f>
        <v>0</v>
      </c>
      <c r="DV197" s="51">
        <f t="shared" si="1125"/>
        <v>0</v>
      </c>
      <c r="DW197" s="51">
        <f t="shared" si="1125"/>
        <v>0</v>
      </c>
      <c r="DX197" s="51">
        <f t="shared" si="1125"/>
        <v>0</v>
      </c>
      <c r="DY197" s="51">
        <f t="shared" si="1125"/>
        <v>0</v>
      </c>
      <c r="DZ197" s="51">
        <f t="shared" si="1125"/>
        <v>0</v>
      </c>
      <c r="EA197" s="51">
        <f t="shared" si="1125"/>
        <v>0</v>
      </c>
      <c r="EB197" s="51">
        <f t="shared" si="1125"/>
        <v>0</v>
      </c>
      <c r="EC197" s="51">
        <f t="shared" si="1125"/>
        <v>0</v>
      </c>
      <c r="ED197" s="51">
        <f t="shared" si="1125"/>
        <v>0</v>
      </c>
      <c r="EE197" s="51">
        <f t="shared" si="1125"/>
        <v>0</v>
      </c>
      <c r="EF197" s="51">
        <f t="shared" si="1094"/>
        <v>22400</v>
      </c>
      <c r="EG197" s="51">
        <f>SUM(EG157:EG196)</f>
        <v>22400</v>
      </c>
      <c r="EH197" s="51">
        <f t="shared" ref="EH197:ER197" si="1126">SUM(EH157:EH196)</f>
        <v>0</v>
      </c>
      <c r="EI197" s="51">
        <f t="shared" si="1126"/>
        <v>0</v>
      </c>
      <c r="EJ197" s="51">
        <f t="shared" si="1126"/>
        <v>0</v>
      </c>
      <c r="EK197" s="51">
        <f t="shared" si="1126"/>
        <v>0</v>
      </c>
      <c r="EL197" s="51">
        <f t="shared" si="1126"/>
        <v>0</v>
      </c>
      <c r="EM197" s="51">
        <f t="shared" si="1126"/>
        <v>0</v>
      </c>
      <c r="EN197" s="51">
        <f t="shared" si="1126"/>
        <v>0</v>
      </c>
      <c r="EO197" s="51">
        <f t="shared" si="1126"/>
        <v>0</v>
      </c>
      <c r="EP197" s="51">
        <f t="shared" si="1126"/>
        <v>0</v>
      </c>
      <c r="EQ197" s="51">
        <f t="shared" si="1126"/>
        <v>0</v>
      </c>
      <c r="ER197" s="51">
        <f t="shared" si="1126"/>
        <v>0</v>
      </c>
      <c r="ES197" s="51">
        <f>SUM(EG197:ER197)</f>
        <v>22400</v>
      </c>
      <c r="ET197" s="51">
        <f>SUM(ET157:ET196)</f>
        <v>22400</v>
      </c>
      <c r="EU197" s="51">
        <f t="shared" ref="EU197:FE197" si="1127">SUM(EU157:EU196)</f>
        <v>0</v>
      </c>
      <c r="EV197" s="51">
        <f t="shared" si="1127"/>
        <v>0</v>
      </c>
      <c r="EW197" s="51">
        <f t="shared" si="1127"/>
        <v>0</v>
      </c>
      <c r="EX197" s="51">
        <f t="shared" si="1127"/>
        <v>0</v>
      </c>
      <c r="EY197" s="51">
        <f t="shared" si="1127"/>
        <v>0</v>
      </c>
      <c r="EZ197" s="51">
        <f t="shared" si="1127"/>
        <v>0</v>
      </c>
      <c r="FA197" s="51">
        <f t="shared" si="1127"/>
        <v>0</v>
      </c>
      <c r="FB197" s="51">
        <f t="shared" si="1127"/>
        <v>0</v>
      </c>
      <c r="FC197" s="51">
        <f t="shared" si="1127"/>
        <v>0</v>
      </c>
      <c r="FD197" s="51">
        <f t="shared" si="1127"/>
        <v>0</v>
      </c>
      <c r="FE197" s="51">
        <f t="shared" si="1127"/>
        <v>0</v>
      </c>
      <c r="FF197" s="51">
        <f t="shared" si="1096"/>
        <v>22400</v>
      </c>
      <c r="FG197" s="51">
        <f>+EF197+ES197+FF197</f>
        <v>67200</v>
      </c>
      <c r="FH197" s="35">
        <f t="shared" si="1098"/>
        <v>268800</v>
      </c>
    </row>
    <row r="198" spans="1:164" x14ac:dyDescent="0.35">
      <c r="A198" s="34" t="s">
        <v>4</v>
      </c>
      <c r="B198" s="40" t="s">
        <v>104</v>
      </c>
      <c r="C198" s="41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>
        <f t="shared" ref="P198:P214" si="1128">SUM(D198:O198)</f>
        <v>0</v>
      </c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>
        <f t="shared" ref="AC198:AC210" si="1129">SUM(Q198:AB198)</f>
        <v>0</v>
      </c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>
        <f t="shared" ref="AP198:AP210" si="1130">SUM(AD198:AO198)</f>
        <v>0</v>
      </c>
      <c r="AQ198" s="35">
        <f t="shared" si="1085"/>
        <v>0</v>
      </c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>
        <f t="shared" ref="BD198:BD214" si="1131">SUM(AR198:BC198)</f>
        <v>0</v>
      </c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>
        <f t="shared" ref="BQ198:BQ214" si="1132">SUM(BE198:BP198)</f>
        <v>0</v>
      </c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>
        <f t="shared" ref="CD198:CD236" si="1133">SUM(BR198:CC198)</f>
        <v>0</v>
      </c>
      <c r="CE198" s="35">
        <f t="shared" ref="CE198:CE238" si="1134">+BD198+BQ198+CD198</f>
        <v>0</v>
      </c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>
        <f t="shared" si="1090"/>
        <v>0</v>
      </c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>
        <f t="shared" ref="DE198:DE238" si="1135">SUM(CS198:DD198)</f>
        <v>0</v>
      </c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>
        <f t="shared" si="1092"/>
        <v>0</v>
      </c>
      <c r="DS198" s="35">
        <f t="shared" ref="DS198:DS238" si="1136">+CR198+DE198+DR198</f>
        <v>0</v>
      </c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>
        <f t="shared" si="1094"/>
        <v>0</v>
      </c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>
        <f t="shared" ref="ES198:ES238" si="1137">SUM(EG198:ER198)</f>
        <v>0</v>
      </c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>
        <f t="shared" si="1096"/>
        <v>0</v>
      </c>
      <c r="FG198" s="35">
        <f t="shared" ref="FG198:FG238" si="1138">+EF198+ES198+FF198</f>
        <v>0</v>
      </c>
      <c r="FH198" s="35">
        <f t="shared" si="1098"/>
        <v>0</v>
      </c>
    </row>
    <row r="199" spans="1:164" x14ac:dyDescent="0.35">
      <c r="A199" s="34"/>
      <c r="B199" s="40"/>
      <c r="C199" s="54" t="s">
        <v>189</v>
      </c>
      <c r="D199" s="35"/>
      <c r="E199" s="35"/>
      <c r="F199" s="35"/>
      <c r="G199" s="35"/>
      <c r="H199" s="35"/>
      <c r="I199" s="35"/>
      <c r="J199" s="35">
        <v>5600</v>
      </c>
      <c r="K199" s="35"/>
      <c r="L199" s="35"/>
      <c r="M199" s="35"/>
      <c r="N199" s="35"/>
      <c r="O199" s="35"/>
      <c r="P199" s="35">
        <f t="shared" si="1128"/>
        <v>5600</v>
      </c>
      <c r="Q199" s="35"/>
      <c r="R199" s="35"/>
      <c r="S199" s="35"/>
      <c r="T199" s="35"/>
      <c r="U199" s="35"/>
      <c r="V199" s="35"/>
      <c r="W199" s="35">
        <v>5600</v>
      </c>
      <c r="X199" s="35"/>
      <c r="Y199" s="35"/>
      <c r="Z199" s="35"/>
      <c r="AA199" s="35"/>
      <c r="AB199" s="35"/>
      <c r="AC199" s="35">
        <f t="shared" si="1129"/>
        <v>5600</v>
      </c>
      <c r="AD199" s="35"/>
      <c r="AE199" s="35"/>
      <c r="AF199" s="35"/>
      <c r="AG199" s="35"/>
      <c r="AH199" s="35"/>
      <c r="AI199" s="35"/>
      <c r="AJ199" s="35">
        <v>5600</v>
      </c>
      <c r="AK199" s="35"/>
      <c r="AL199" s="35"/>
      <c r="AM199" s="35"/>
      <c r="AN199" s="35"/>
      <c r="AO199" s="35"/>
      <c r="AP199" s="35">
        <f t="shared" si="1130"/>
        <v>5600</v>
      </c>
      <c r="AQ199" s="35">
        <f t="shared" si="1085"/>
        <v>16800</v>
      </c>
      <c r="AR199" s="35"/>
      <c r="AS199" s="35"/>
      <c r="AT199" s="35"/>
      <c r="AU199" s="35"/>
      <c r="AV199" s="35"/>
      <c r="AW199" s="35"/>
      <c r="AX199" s="35">
        <v>5600</v>
      </c>
      <c r="AY199" s="35"/>
      <c r="AZ199" s="35"/>
      <c r="BA199" s="35"/>
      <c r="BB199" s="35"/>
      <c r="BC199" s="35"/>
      <c r="BD199" s="35">
        <f t="shared" si="1131"/>
        <v>5600</v>
      </c>
      <c r="BE199" s="35"/>
      <c r="BF199" s="35"/>
      <c r="BG199" s="35"/>
      <c r="BH199" s="35"/>
      <c r="BI199" s="35"/>
      <c r="BJ199" s="35"/>
      <c r="BK199" s="35">
        <v>5600</v>
      </c>
      <c r="BL199" s="35"/>
      <c r="BM199" s="35"/>
      <c r="BN199" s="35"/>
      <c r="BO199" s="35"/>
      <c r="BP199" s="35"/>
      <c r="BQ199" s="35">
        <f t="shared" si="1132"/>
        <v>5600</v>
      </c>
      <c r="BR199" s="35"/>
      <c r="BS199" s="35"/>
      <c r="BT199" s="35"/>
      <c r="BU199" s="35"/>
      <c r="BV199" s="35"/>
      <c r="BW199" s="35"/>
      <c r="BX199" s="35">
        <v>5600</v>
      </c>
      <c r="BY199" s="35"/>
      <c r="BZ199" s="35"/>
      <c r="CA199" s="35"/>
      <c r="CB199" s="35"/>
      <c r="CC199" s="35"/>
      <c r="CD199" s="35">
        <f t="shared" si="1133"/>
        <v>5600</v>
      </c>
      <c r="CE199" s="35">
        <f t="shared" si="1134"/>
        <v>16800</v>
      </c>
      <c r="CF199" s="35"/>
      <c r="CG199" s="35"/>
      <c r="CH199" s="35"/>
      <c r="CI199" s="35"/>
      <c r="CJ199" s="35"/>
      <c r="CK199" s="35"/>
      <c r="CL199" s="35">
        <v>5600</v>
      </c>
      <c r="CM199" s="35"/>
      <c r="CN199" s="35"/>
      <c r="CO199" s="35"/>
      <c r="CP199" s="35"/>
      <c r="CQ199" s="35"/>
      <c r="CR199" s="35">
        <f t="shared" si="1090"/>
        <v>5600</v>
      </c>
      <c r="CS199" s="35"/>
      <c r="CT199" s="35"/>
      <c r="CU199" s="35"/>
      <c r="CV199" s="35"/>
      <c r="CW199" s="35"/>
      <c r="CX199" s="35"/>
      <c r="CY199" s="35">
        <v>5600</v>
      </c>
      <c r="CZ199" s="35"/>
      <c r="DA199" s="35"/>
      <c r="DB199" s="35"/>
      <c r="DC199" s="35"/>
      <c r="DD199" s="35"/>
      <c r="DE199" s="35">
        <f t="shared" si="1135"/>
        <v>5600</v>
      </c>
      <c r="DF199" s="35"/>
      <c r="DG199" s="35"/>
      <c r="DH199" s="35"/>
      <c r="DI199" s="35"/>
      <c r="DJ199" s="35"/>
      <c r="DK199" s="35"/>
      <c r="DL199" s="35">
        <v>5600</v>
      </c>
      <c r="DM199" s="35"/>
      <c r="DN199" s="35"/>
      <c r="DO199" s="35"/>
      <c r="DP199" s="35"/>
      <c r="DQ199" s="35"/>
      <c r="DR199" s="35">
        <f t="shared" si="1092"/>
        <v>5600</v>
      </c>
      <c r="DS199" s="35">
        <f t="shared" si="1136"/>
        <v>16800</v>
      </c>
      <c r="DT199" s="35"/>
      <c r="DU199" s="35"/>
      <c r="DV199" s="35"/>
      <c r="DW199" s="35"/>
      <c r="DX199" s="35"/>
      <c r="DY199" s="35"/>
      <c r="DZ199" s="35">
        <v>5600</v>
      </c>
      <c r="EA199" s="35"/>
      <c r="EB199" s="35"/>
      <c r="EC199" s="35"/>
      <c r="ED199" s="35"/>
      <c r="EE199" s="35"/>
      <c r="EF199" s="35">
        <f t="shared" si="1094"/>
        <v>5600</v>
      </c>
      <c r="EG199" s="35"/>
      <c r="EH199" s="35"/>
      <c r="EI199" s="35"/>
      <c r="EJ199" s="35"/>
      <c r="EK199" s="35"/>
      <c r="EL199" s="35"/>
      <c r="EM199" s="35">
        <v>5600</v>
      </c>
      <c r="EN199" s="35"/>
      <c r="EO199" s="35"/>
      <c r="EP199" s="35"/>
      <c r="EQ199" s="35"/>
      <c r="ER199" s="35"/>
      <c r="ES199" s="35">
        <f t="shared" si="1137"/>
        <v>5600</v>
      </c>
      <c r="ET199" s="35"/>
      <c r="EU199" s="35"/>
      <c r="EV199" s="35"/>
      <c r="EW199" s="35"/>
      <c r="EX199" s="35"/>
      <c r="EY199" s="35"/>
      <c r="EZ199" s="35">
        <v>5600</v>
      </c>
      <c r="FA199" s="35"/>
      <c r="FB199" s="35"/>
      <c r="FC199" s="35"/>
      <c r="FD199" s="35"/>
      <c r="FE199" s="35"/>
      <c r="FF199" s="35">
        <f t="shared" si="1096"/>
        <v>5600</v>
      </c>
      <c r="FG199" s="35">
        <f t="shared" si="1138"/>
        <v>16800</v>
      </c>
      <c r="FH199" s="35">
        <f t="shared" si="1098"/>
        <v>67200</v>
      </c>
    </row>
    <row r="200" spans="1:164" x14ac:dyDescent="0.35">
      <c r="A200" s="34"/>
      <c r="B200" s="40"/>
      <c r="C200" s="41" t="s">
        <v>190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>
        <f t="shared" si="1128"/>
        <v>0</v>
      </c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>
        <f t="shared" si="1129"/>
        <v>0</v>
      </c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>
        <f t="shared" si="1130"/>
        <v>0</v>
      </c>
      <c r="AQ200" s="35">
        <f t="shared" si="1085"/>
        <v>0</v>
      </c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>
        <f t="shared" si="1131"/>
        <v>0</v>
      </c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>
        <f t="shared" si="1132"/>
        <v>0</v>
      </c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>
        <f t="shared" si="1133"/>
        <v>0</v>
      </c>
      <c r="CE200" s="35">
        <f t="shared" si="1134"/>
        <v>0</v>
      </c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>
        <f t="shared" si="1090"/>
        <v>0</v>
      </c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>
        <f t="shared" si="1135"/>
        <v>0</v>
      </c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>
        <f t="shared" si="1092"/>
        <v>0</v>
      </c>
      <c r="DS200" s="35">
        <f t="shared" si="1136"/>
        <v>0</v>
      </c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>
        <f t="shared" si="1094"/>
        <v>0</v>
      </c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>
        <f t="shared" si="1137"/>
        <v>0</v>
      </c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>
        <f t="shared" si="1096"/>
        <v>0</v>
      </c>
      <c r="FG200" s="35">
        <f t="shared" si="1138"/>
        <v>0</v>
      </c>
      <c r="FH200" s="35">
        <f t="shared" si="1098"/>
        <v>0</v>
      </c>
    </row>
    <row r="201" spans="1:164" x14ac:dyDescent="0.35">
      <c r="A201" s="34"/>
      <c r="B201" s="40"/>
      <c r="C201" s="41" t="s">
        <v>191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>
        <f t="shared" si="1128"/>
        <v>0</v>
      </c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>
        <f t="shared" si="1129"/>
        <v>0</v>
      </c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>
        <f t="shared" si="1130"/>
        <v>0</v>
      </c>
      <c r="AQ201" s="35">
        <f t="shared" si="1085"/>
        <v>0</v>
      </c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>
        <f t="shared" si="1131"/>
        <v>0</v>
      </c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>
        <f t="shared" si="1132"/>
        <v>0</v>
      </c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>
        <f t="shared" si="1133"/>
        <v>0</v>
      </c>
      <c r="CE201" s="35">
        <f t="shared" si="1134"/>
        <v>0</v>
      </c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>
        <f t="shared" si="1090"/>
        <v>0</v>
      </c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>
        <f t="shared" si="1135"/>
        <v>0</v>
      </c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>
        <f t="shared" si="1092"/>
        <v>0</v>
      </c>
      <c r="DS201" s="35">
        <f t="shared" si="1136"/>
        <v>0</v>
      </c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>
        <f t="shared" si="1094"/>
        <v>0</v>
      </c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>
        <f t="shared" si="1137"/>
        <v>0</v>
      </c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>
        <f t="shared" si="1096"/>
        <v>0</v>
      </c>
      <c r="FG201" s="35">
        <f t="shared" si="1138"/>
        <v>0</v>
      </c>
      <c r="FH201" s="35">
        <f t="shared" si="1098"/>
        <v>0</v>
      </c>
    </row>
    <row r="202" spans="1:164" x14ac:dyDescent="0.35">
      <c r="A202" s="34"/>
      <c r="B202" s="40"/>
      <c r="C202" s="41" t="s">
        <v>192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>
        <f t="shared" si="1128"/>
        <v>0</v>
      </c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>
        <f t="shared" si="1129"/>
        <v>0</v>
      </c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>
        <f t="shared" si="1130"/>
        <v>0</v>
      </c>
      <c r="AQ202" s="35">
        <f t="shared" si="1085"/>
        <v>0</v>
      </c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>
        <f t="shared" si="1131"/>
        <v>0</v>
      </c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>
        <f t="shared" si="1132"/>
        <v>0</v>
      </c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>
        <f t="shared" si="1133"/>
        <v>0</v>
      </c>
      <c r="CE202" s="35">
        <f t="shared" si="1134"/>
        <v>0</v>
      </c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>
        <f t="shared" si="1090"/>
        <v>0</v>
      </c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>
        <f t="shared" si="1135"/>
        <v>0</v>
      </c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>
        <f t="shared" si="1092"/>
        <v>0</v>
      </c>
      <c r="DS202" s="35">
        <f t="shared" si="1136"/>
        <v>0</v>
      </c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>
        <f t="shared" si="1094"/>
        <v>0</v>
      </c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>
        <f t="shared" si="1137"/>
        <v>0</v>
      </c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>
        <f t="shared" si="1096"/>
        <v>0</v>
      </c>
      <c r="FG202" s="35">
        <f t="shared" si="1138"/>
        <v>0</v>
      </c>
      <c r="FH202" s="35">
        <f t="shared" si="1098"/>
        <v>0</v>
      </c>
    </row>
    <row r="203" spans="1:164" x14ac:dyDescent="0.35">
      <c r="A203" s="34"/>
      <c r="B203" s="40"/>
      <c r="C203" s="54" t="s">
        <v>232</v>
      </c>
      <c r="D203" s="35"/>
      <c r="E203" s="35"/>
      <c r="F203" s="35"/>
      <c r="G203" s="35"/>
      <c r="H203" s="35"/>
      <c r="I203" s="35"/>
      <c r="J203" s="35">
        <v>5600</v>
      </c>
      <c r="K203" s="35"/>
      <c r="L203" s="35"/>
      <c r="M203" s="35"/>
      <c r="N203" s="35"/>
      <c r="O203" s="35"/>
      <c r="P203" s="35">
        <f t="shared" si="1128"/>
        <v>5600</v>
      </c>
      <c r="Q203" s="35"/>
      <c r="R203" s="35"/>
      <c r="S203" s="35"/>
      <c r="T203" s="35"/>
      <c r="U203" s="35"/>
      <c r="V203" s="35"/>
      <c r="W203" s="35">
        <v>5600</v>
      </c>
      <c r="X203" s="35"/>
      <c r="Y203" s="35"/>
      <c r="Z203" s="35"/>
      <c r="AA203" s="35"/>
      <c r="AB203" s="35"/>
      <c r="AC203" s="35">
        <f t="shared" si="1129"/>
        <v>5600</v>
      </c>
      <c r="AD203" s="35"/>
      <c r="AE203" s="35"/>
      <c r="AF203" s="35"/>
      <c r="AG203" s="35"/>
      <c r="AH203" s="35"/>
      <c r="AI203" s="35"/>
      <c r="AJ203" s="35">
        <v>5600</v>
      </c>
      <c r="AK203" s="35"/>
      <c r="AL203" s="35"/>
      <c r="AM203" s="35"/>
      <c r="AN203" s="35"/>
      <c r="AO203" s="35"/>
      <c r="AP203" s="35">
        <f t="shared" si="1130"/>
        <v>5600</v>
      </c>
      <c r="AQ203" s="35">
        <f t="shared" si="1085"/>
        <v>16800</v>
      </c>
      <c r="AR203" s="35"/>
      <c r="AS203" s="35"/>
      <c r="AT203" s="35"/>
      <c r="AU203" s="35"/>
      <c r="AV203" s="35"/>
      <c r="AW203" s="35"/>
      <c r="AX203" s="35">
        <v>5600</v>
      </c>
      <c r="AY203" s="35"/>
      <c r="AZ203" s="35"/>
      <c r="BA203" s="35"/>
      <c r="BB203" s="35"/>
      <c r="BC203" s="35"/>
      <c r="BD203" s="35">
        <f t="shared" si="1131"/>
        <v>5600</v>
      </c>
      <c r="BE203" s="35"/>
      <c r="BF203" s="35"/>
      <c r="BG203" s="35"/>
      <c r="BH203" s="35"/>
      <c r="BI203" s="35"/>
      <c r="BJ203" s="35"/>
      <c r="BK203" s="35">
        <v>5600</v>
      </c>
      <c r="BL203" s="35"/>
      <c r="BM203" s="35"/>
      <c r="BN203" s="35"/>
      <c r="BO203" s="35"/>
      <c r="BP203" s="35"/>
      <c r="BQ203" s="35">
        <f t="shared" si="1132"/>
        <v>5600</v>
      </c>
      <c r="BR203" s="35"/>
      <c r="BS203" s="35"/>
      <c r="BT203" s="35"/>
      <c r="BU203" s="35"/>
      <c r="BV203" s="35"/>
      <c r="BW203" s="35"/>
      <c r="BX203" s="35">
        <v>5600</v>
      </c>
      <c r="BY203" s="35"/>
      <c r="BZ203" s="35"/>
      <c r="CA203" s="35"/>
      <c r="CB203" s="35"/>
      <c r="CC203" s="35"/>
      <c r="CD203" s="35">
        <f t="shared" si="1133"/>
        <v>5600</v>
      </c>
      <c r="CE203" s="35">
        <f t="shared" si="1134"/>
        <v>16800</v>
      </c>
      <c r="CF203" s="35"/>
      <c r="CG203" s="35"/>
      <c r="CH203" s="35"/>
      <c r="CI203" s="35"/>
      <c r="CJ203" s="35"/>
      <c r="CK203" s="35"/>
      <c r="CL203" s="35">
        <v>5600</v>
      </c>
      <c r="CM203" s="35"/>
      <c r="CN203" s="35"/>
      <c r="CO203" s="35"/>
      <c r="CP203" s="35"/>
      <c r="CQ203" s="35"/>
      <c r="CR203" s="35">
        <f t="shared" si="1090"/>
        <v>5600</v>
      </c>
      <c r="CS203" s="35"/>
      <c r="CT203" s="35"/>
      <c r="CU203" s="35"/>
      <c r="CV203" s="35"/>
      <c r="CW203" s="35"/>
      <c r="CX203" s="35"/>
      <c r="CY203" s="35">
        <v>5600</v>
      </c>
      <c r="CZ203" s="35"/>
      <c r="DA203" s="35"/>
      <c r="DB203" s="35"/>
      <c r="DC203" s="35"/>
      <c r="DD203" s="35"/>
      <c r="DE203" s="35">
        <f t="shared" si="1135"/>
        <v>5600</v>
      </c>
      <c r="DF203" s="35"/>
      <c r="DG203" s="35"/>
      <c r="DH203" s="35"/>
      <c r="DI203" s="35"/>
      <c r="DJ203" s="35"/>
      <c r="DK203" s="35"/>
      <c r="DL203" s="35">
        <v>5600</v>
      </c>
      <c r="DM203" s="35"/>
      <c r="DN203" s="35"/>
      <c r="DO203" s="35"/>
      <c r="DP203" s="35"/>
      <c r="DQ203" s="35"/>
      <c r="DR203" s="35">
        <f t="shared" si="1092"/>
        <v>5600</v>
      </c>
      <c r="DS203" s="35">
        <f t="shared" si="1136"/>
        <v>16800</v>
      </c>
      <c r="DT203" s="35"/>
      <c r="DU203" s="35"/>
      <c r="DV203" s="35"/>
      <c r="DW203" s="35"/>
      <c r="DX203" s="35"/>
      <c r="DY203" s="35"/>
      <c r="DZ203" s="35">
        <v>5600</v>
      </c>
      <c r="EA203" s="35"/>
      <c r="EB203" s="35"/>
      <c r="EC203" s="35"/>
      <c r="ED203" s="35"/>
      <c r="EE203" s="35"/>
      <c r="EF203" s="35">
        <f t="shared" si="1094"/>
        <v>5600</v>
      </c>
      <c r="EG203" s="35"/>
      <c r="EH203" s="35"/>
      <c r="EI203" s="35"/>
      <c r="EJ203" s="35"/>
      <c r="EK203" s="35"/>
      <c r="EL203" s="35"/>
      <c r="EM203" s="35">
        <v>5600</v>
      </c>
      <c r="EN203" s="35"/>
      <c r="EO203" s="35"/>
      <c r="EP203" s="35"/>
      <c r="EQ203" s="35"/>
      <c r="ER203" s="35"/>
      <c r="ES203" s="35">
        <f t="shared" si="1137"/>
        <v>5600</v>
      </c>
      <c r="ET203" s="35"/>
      <c r="EU203" s="35"/>
      <c r="EV203" s="35"/>
      <c r="EW203" s="35"/>
      <c r="EX203" s="35"/>
      <c r="EY203" s="35"/>
      <c r="EZ203" s="35">
        <v>5600</v>
      </c>
      <c r="FA203" s="35"/>
      <c r="FB203" s="35"/>
      <c r="FC203" s="35"/>
      <c r="FD203" s="35"/>
      <c r="FE203" s="35"/>
      <c r="FF203" s="35">
        <f t="shared" si="1096"/>
        <v>5600</v>
      </c>
      <c r="FG203" s="35">
        <f t="shared" si="1138"/>
        <v>16800</v>
      </c>
      <c r="FH203" s="35">
        <f t="shared" si="1098"/>
        <v>67200</v>
      </c>
    </row>
    <row r="204" spans="1:164" x14ac:dyDescent="0.35">
      <c r="A204" s="34"/>
      <c r="B204" s="40"/>
      <c r="C204" s="54" t="s">
        <v>193</v>
      </c>
      <c r="D204" s="35"/>
      <c r="E204" s="35"/>
      <c r="F204" s="35"/>
      <c r="G204" s="35"/>
      <c r="H204" s="35"/>
      <c r="I204" s="35"/>
      <c r="J204" s="35">
        <v>5600</v>
      </c>
      <c r="K204" s="35"/>
      <c r="L204" s="35"/>
      <c r="M204" s="35"/>
      <c r="N204" s="35"/>
      <c r="O204" s="35"/>
      <c r="P204" s="35">
        <f t="shared" si="1128"/>
        <v>5600</v>
      </c>
      <c r="Q204" s="35"/>
      <c r="R204" s="35"/>
      <c r="S204" s="35"/>
      <c r="T204" s="35"/>
      <c r="U204" s="35"/>
      <c r="V204" s="35"/>
      <c r="W204" s="35">
        <v>5600</v>
      </c>
      <c r="X204" s="35"/>
      <c r="Y204" s="35"/>
      <c r="Z204" s="35"/>
      <c r="AA204" s="35"/>
      <c r="AB204" s="35"/>
      <c r="AC204" s="35">
        <f t="shared" si="1129"/>
        <v>5600</v>
      </c>
      <c r="AD204" s="35"/>
      <c r="AE204" s="35"/>
      <c r="AF204" s="35"/>
      <c r="AG204" s="35"/>
      <c r="AH204" s="35"/>
      <c r="AI204" s="35"/>
      <c r="AJ204" s="35">
        <v>5600</v>
      </c>
      <c r="AK204" s="35"/>
      <c r="AL204" s="35"/>
      <c r="AM204" s="35"/>
      <c r="AN204" s="35"/>
      <c r="AO204" s="35"/>
      <c r="AP204" s="35">
        <f t="shared" si="1130"/>
        <v>5600</v>
      </c>
      <c r="AQ204" s="35">
        <f t="shared" si="1085"/>
        <v>16800</v>
      </c>
      <c r="AR204" s="35"/>
      <c r="AS204" s="35"/>
      <c r="AT204" s="35"/>
      <c r="AU204" s="35"/>
      <c r="AV204" s="35"/>
      <c r="AW204" s="35"/>
      <c r="AX204" s="35">
        <v>5600</v>
      </c>
      <c r="AY204" s="35"/>
      <c r="AZ204" s="35"/>
      <c r="BA204" s="35"/>
      <c r="BB204" s="35"/>
      <c r="BC204" s="35"/>
      <c r="BD204" s="35">
        <f t="shared" si="1131"/>
        <v>5600</v>
      </c>
      <c r="BE204" s="35"/>
      <c r="BF204" s="35"/>
      <c r="BG204" s="35"/>
      <c r="BH204" s="35"/>
      <c r="BI204" s="35"/>
      <c r="BJ204" s="35"/>
      <c r="BK204" s="35">
        <v>5600</v>
      </c>
      <c r="BL204" s="35"/>
      <c r="BM204" s="35"/>
      <c r="BN204" s="35"/>
      <c r="BO204" s="35"/>
      <c r="BP204" s="35"/>
      <c r="BQ204" s="35">
        <f t="shared" si="1132"/>
        <v>5600</v>
      </c>
      <c r="BR204" s="35"/>
      <c r="BS204" s="35"/>
      <c r="BT204" s="35"/>
      <c r="BU204" s="35"/>
      <c r="BV204" s="35"/>
      <c r="BW204" s="35"/>
      <c r="BX204" s="35">
        <v>5600</v>
      </c>
      <c r="BY204" s="35"/>
      <c r="BZ204" s="35"/>
      <c r="CA204" s="35"/>
      <c r="CB204" s="35"/>
      <c r="CC204" s="35"/>
      <c r="CD204" s="35">
        <f t="shared" si="1133"/>
        <v>5600</v>
      </c>
      <c r="CE204" s="35">
        <f t="shared" si="1134"/>
        <v>16800</v>
      </c>
      <c r="CF204" s="35"/>
      <c r="CG204" s="35"/>
      <c r="CH204" s="35"/>
      <c r="CI204" s="35"/>
      <c r="CJ204" s="35"/>
      <c r="CK204" s="35"/>
      <c r="CL204" s="35">
        <v>5600</v>
      </c>
      <c r="CM204" s="35"/>
      <c r="CN204" s="35"/>
      <c r="CO204" s="35"/>
      <c r="CP204" s="35"/>
      <c r="CQ204" s="35"/>
      <c r="CR204" s="35">
        <f t="shared" si="1090"/>
        <v>5600</v>
      </c>
      <c r="CS204" s="35"/>
      <c r="CT204" s="35"/>
      <c r="CU204" s="35"/>
      <c r="CV204" s="35"/>
      <c r="CW204" s="35"/>
      <c r="CX204" s="35"/>
      <c r="CY204" s="35">
        <v>5600</v>
      </c>
      <c r="CZ204" s="35"/>
      <c r="DA204" s="35"/>
      <c r="DB204" s="35"/>
      <c r="DC204" s="35"/>
      <c r="DD204" s="35"/>
      <c r="DE204" s="35">
        <f t="shared" si="1135"/>
        <v>5600</v>
      </c>
      <c r="DF204" s="35"/>
      <c r="DG204" s="35"/>
      <c r="DH204" s="35"/>
      <c r="DI204" s="35"/>
      <c r="DJ204" s="35"/>
      <c r="DK204" s="35"/>
      <c r="DL204" s="35">
        <v>5600</v>
      </c>
      <c r="DM204" s="35"/>
      <c r="DN204" s="35"/>
      <c r="DO204" s="35"/>
      <c r="DP204" s="35"/>
      <c r="DQ204" s="35"/>
      <c r="DR204" s="35">
        <f t="shared" si="1092"/>
        <v>5600</v>
      </c>
      <c r="DS204" s="35">
        <f t="shared" si="1136"/>
        <v>16800</v>
      </c>
      <c r="DT204" s="35"/>
      <c r="DU204" s="35"/>
      <c r="DV204" s="35"/>
      <c r="DW204" s="35"/>
      <c r="DX204" s="35"/>
      <c r="DY204" s="35"/>
      <c r="DZ204" s="35">
        <v>5600</v>
      </c>
      <c r="EA204" s="35"/>
      <c r="EB204" s="35"/>
      <c r="EC204" s="35"/>
      <c r="ED204" s="35"/>
      <c r="EE204" s="35"/>
      <c r="EF204" s="35">
        <f t="shared" si="1094"/>
        <v>5600</v>
      </c>
      <c r="EG204" s="35"/>
      <c r="EH204" s="35"/>
      <c r="EI204" s="35"/>
      <c r="EJ204" s="35"/>
      <c r="EK204" s="35"/>
      <c r="EL204" s="35"/>
      <c r="EM204" s="35">
        <v>5600</v>
      </c>
      <c r="EN204" s="35"/>
      <c r="EO204" s="35"/>
      <c r="EP204" s="35"/>
      <c r="EQ204" s="35"/>
      <c r="ER204" s="35"/>
      <c r="ES204" s="35">
        <f t="shared" si="1137"/>
        <v>5600</v>
      </c>
      <c r="ET204" s="35"/>
      <c r="EU204" s="35"/>
      <c r="EV204" s="35"/>
      <c r="EW204" s="35"/>
      <c r="EX204" s="35"/>
      <c r="EY204" s="35"/>
      <c r="EZ204" s="35">
        <v>5600</v>
      </c>
      <c r="FA204" s="35"/>
      <c r="FB204" s="35"/>
      <c r="FC204" s="35"/>
      <c r="FD204" s="35"/>
      <c r="FE204" s="35"/>
      <c r="FF204" s="35">
        <f t="shared" si="1096"/>
        <v>5600</v>
      </c>
      <c r="FG204" s="35">
        <f t="shared" si="1138"/>
        <v>16800</v>
      </c>
      <c r="FH204" s="35">
        <f t="shared" si="1098"/>
        <v>67200</v>
      </c>
    </row>
    <row r="205" spans="1:164" x14ac:dyDescent="0.35">
      <c r="A205" s="34"/>
      <c r="B205" s="40"/>
      <c r="C205" s="54" t="s">
        <v>194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>
        <f t="shared" si="1128"/>
        <v>0</v>
      </c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>
        <f t="shared" si="1129"/>
        <v>0</v>
      </c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>
        <f t="shared" si="1130"/>
        <v>0</v>
      </c>
      <c r="AQ205" s="35">
        <f t="shared" si="1085"/>
        <v>0</v>
      </c>
      <c r="AR205" s="35"/>
      <c r="AS205" s="35"/>
      <c r="AT205" s="35"/>
      <c r="AU205" s="35"/>
      <c r="AV205" s="35"/>
      <c r="AW205" s="35"/>
      <c r="AX205" s="35">
        <v>5600</v>
      </c>
      <c r="AY205" s="35"/>
      <c r="AZ205" s="35"/>
      <c r="BA205" s="35"/>
      <c r="BB205" s="35"/>
      <c r="BC205" s="35"/>
      <c r="BD205" s="35">
        <f t="shared" si="1131"/>
        <v>5600</v>
      </c>
      <c r="BE205" s="35"/>
      <c r="BF205" s="35"/>
      <c r="BG205" s="35"/>
      <c r="BH205" s="35"/>
      <c r="BI205" s="35"/>
      <c r="BJ205" s="35"/>
      <c r="BK205" s="35">
        <f>5600+5600+5600+5600</f>
        <v>22400</v>
      </c>
      <c r="BL205" s="35"/>
      <c r="BM205" s="35"/>
      <c r="BN205" s="35"/>
      <c r="BO205" s="35"/>
      <c r="BP205" s="35"/>
      <c r="BQ205" s="35">
        <f t="shared" si="1132"/>
        <v>22400</v>
      </c>
      <c r="BR205" s="35"/>
      <c r="BS205" s="35"/>
      <c r="BT205" s="35"/>
      <c r="BU205" s="35"/>
      <c r="BV205" s="35"/>
      <c r="BW205" s="35"/>
      <c r="BX205" s="35">
        <v>5600</v>
      </c>
      <c r="BY205" s="35"/>
      <c r="BZ205" s="35"/>
      <c r="CA205" s="35"/>
      <c r="CB205" s="35"/>
      <c r="CC205" s="35"/>
      <c r="CD205" s="35">
        <f t="shared" si="1133"/>
        <v>5600</v>
      </c>
      <c r="CE205" s="35">
        <f t="shared" si="1134"/>
        <v>33600</v>
      </c>
      <c r="CF205" s="35"/>
      <c r="CG205" s="35"/>
      <c r="CH205" s="35"/>
      <c r="CI205" s="35"/>
      <c r="CJ205" s="35"/>
      <c r="CK205" s="35"/>
      <c r="CL205" s="35">
        <v>5600</v>
      </c>
      <c r="CM205" s="35"/>
      <c r="CN205" s="35"/>
      <c r="CO205" s="35"/>
      <c r="CP205" s="35"/>
      <c r="CQ205" s="35"/>
      <c r="CR205" s="35">
        <f t="shared" si="1090"/>
        <v>5600</v>
      </c>
      <c r="CS205" s="35"/>
      <c r="CT205" s="35"/>
      <c r="CU205" s="35"/>
      <c r="CV205" s="35"/>
      <c r="CW205" s="35"/>
      <c r="CX205" s="35"/>
      <c r="CY205" s="35">
        <v>5600</v>
      </c>
      <c r="CZ205" s="35"/>
      <c r="DA205" s="35"/>
      <c r="DB205" s="35"/>
      <c r="DC205" s="35"/>
      <c r="DD205" s="35"/>
      <c r="DE205" s="35">
        <f t="shared" si="1135"/>
        <v>5600</v>
      </c>
      <c r="DF205" s="35"/>
      <c r="DG205" s="35"/>
      <c r="DH205" s="35"/>
      <c r="DI205" s="35"/>
      <c r="DJ205" s="35"/>
      <c r="DK205" s="35"/>
      <c r="DL205" s="35">
        <v>5600</v>
      </c>
      <c r="DM205" s="35"/>
      <c r="DN205" s="35"/>
      <c r="DO205" s="35"/>
      <c r="DP205" s="35"/>
      <c r="DQ205" s="35"/>
      <c r="DR205" s="35">
        <f t="shared" si="1092"/>
        <v>5600</v>
      </c>
      <c r="DS205" s="35">
        <f t="shared" si="1136"/>
        <v>16800</v>
      </c>
      <c r="DT205" s="35"/>
      <c r="DU205" s="35"/>
      <c r="DV205" s="35"/>
      <c r="DW205" s="35"/>
      <c r="DX205" s="35"/>
      <c r="DY205" s="35"/>
      <c r="DZ205" s="35">
        <v>5600</v>
      </c>
      <c r="EA205" s="35"/>
      <c r="EB205" s="35"/>
      <c r="EC205" s="35"/>
      <c r="ED205" s="35"/>
      <c r="EE205" s="35"/>
      <c r="EF205" s="35">
        <f t="shared" si="1094"/>
        <v>5600</v>
      </c>
      <c r="EG205" s="35"/>
      <c r="EH205" s="35"/>
      <c r="EI205" s="35"/>
      <c r="EJ205" s="35"/>
      <c r="EK205" s="35"/>
      <c r="EL205" s="35"/>
      <c r="EM205" s="35">
        <v>5600</v>
      </c>
      <c r="EN205" s="35"/>
      <c r="EO205" s="35"/>
      <c r="EP205" s="35"/>
      <c r="EQ205" s="35"/>
      <c r="ER205" s="35"/>
      <c r="ES205" s="35">
        <f t="shared" si="1137"/>
        <v>5600</v>
      </c>
      <c r="ET205" s="35"/>
      <c r="EU205" s="35"/>
      <c r="EV205" s="35"/>
      <c r="EW205" s="35"/>
      <c r="EX205" s="35"/>
      <c r="EY205" s="35"/>
      <c r="EZ205" s="35">
        <v>5600</v>
      </c>
      <c r="FA205" s="35"/>
      <c r="FB205" s="35"/>
      <c r="FC205" s="35"/>
      <c r="FD205" s="35"/>
      <c r="FE205" s="35"/>
      <c r="FF205" s="35">
        <f t="shared" si="1096"/>
        <v>5600</v>
      </c>
      <c r="FG205" s="35">
        <f t="shared" si="1138"/>
        <v>16800</v>
      </c>
      <c r="FH205" s="35">
        <f t="shared" si="1098"/>
        <v>67200</v>
      </c>
    </row>
    <row r="206" spans="1:164" x14ac:dyDescent="0.35">
      <c r="A206" s="34"/>
      <c r="B206" s="40"/>
      <c r="C206" s="41" t="s">
        <v>195</v>
      </c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>
        <f t="shared" si="1128"/>
        <v>0</v>
      </c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>
        <f t="shared" si="1129"/>
        <v>0</v>
      </c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>
        <f t="shared" si="1130"/>
        <v>0</v>
      </c>
      <c r="AQ206" s="35">
        <f t="shared" si="1085"/>
        <v>0</v>
      </c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>
        <f t="shared" si="1131"/>
        <v>0</v>
      </c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>
        <f t="shared" si="1132"/>
        <v>0</v>
      </c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>
        <f t="shared" si="1133"/>
        <v>0</v>
      </c>
      <c r="CE206" s="35">
        <f t="shared" si="1134"/>
        <v>0</v>
      </c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>
        <f t="shared" si="1090"/>
        <v>0</v>
      </c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>
        <f t="shared" si="1135"/>
        <v>0</v>
      </c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>
        <f t="shared" si="1092"/>
        <v>0</v>
      </c>
      <c r="DS206" s="35">
        <f t="shared" si="1136"/>
        <v>0</v>
      </c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>
        <f t="shared" si="1094"/>
        <v>0</v>
      </c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>
        <f t="shared" si="1137"/>
        <v>0</v>
      </c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>
        <f t="shared" si="1096"/>
        <v>0</v>
      </c>
      <c r="FG206" s="35">
        <f t="shared" si="1138"/>
        <v>0</v>
      </c>
      <c r="FH206" s="35">
        <f t="shared" si="1098"/>
        <v>0</v>
      </c>
    </row>
    <row r="207" spans="1:164" x14ac:dyDescent="0.35">
      <c r="A207" s="34"/>
      <c r="B207" s="40"/>
      <c r="C207" s="41" t="s">
        <v>196</v>
      </c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>
        <f t="shared" si="1128"/>
        <v>0</v>
      </c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>
        <f t="shared" si="1129"/>
        <v>0</v>
      </c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>
        <f t="shared" si="1130"/>
        <v>0</v>
      </c>
      <c r="AQ207" s="35">
        <f t="shared" si="1085"/>
        <v>0</v>
      </c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>
        <f t="shared" si="1131"/>
        <v>0</v>
      </c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>
        <f t="shared" si="1132"/>
        <v>0</v>
      </c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>
        <f t="shared" si="1133"/>
        <v>0</v>
      </c>
      <c r="CE207" s="35">
        <f t="shared" si="1134"/>
        <v>0</v>
      </c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>
        <f t="shared" si="1090"/>
        <v>0</v>
      </c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>
        <f t="shared" si="1135"/>
        <v>0</v>
      </c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>
        <f t="shared" si="1092"/>
        <v>0</v>
      </c>
      <c r="DS207" s="35">
        <f t="shared" si="1136"/>
        <v>0</v>
      </c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>
        <f t="shared" si="1094"/>
        <v>0</v>
      </c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>
        <f t="shared" si="1137"/>
        <v>0</v>
      </c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>
        <f t="shared" si="1096"/>
        <v>0</v>
      </c>
      <c r="FG207" s="35">
        <f t="shared" si="1138"/>
        <v>0</v>
      </c>
      <c r="FH207" s="35">
        <f t="shared" si="1098"/>
        <v>0</v>
      </c>
    </row>
    <row r="208" spans="1:164" x14ac:dyDescent="0.35">
      <c r="A208" s="34"/>
      <c r="B208" s="40"/>
      <c r="C208" s="54" t="s">
        <v>233</v>
      </c>
      <c r="D208" s="35"/>
      <c r="E208" s="35"/>
      <c r="F208" s="35"/>
      <c r="G208" s="35"/>
      <c r="H208" s="35"/>
      <c r="I208" s="35"/>
      <c r="J208" s="35">
        <v>5600</v>
      </c>
      <c r="K208" s="35"/>
      <c r="L208" s="35"/>
      <c r="M208" s="35"/>
      <c r="N208" s="35"/>
      <c r="O208" s="35"/>
      <c r="P208" s="35">
        <f t="shared" si="1128"/>
        <v>5600</v>
      </c>
      <c r="Q208" s="35"/>
      <c r="R208" s="35"/>
      <c r="S208" s="35"/>
      <c r="T208" s="35"/>
      <c r="U208" s="35"/>
      <c r="V208" s="35"/>
      <c r="W208" s="35">
        <v>5600</v>
      </c>
      <c r="X208" s="35"/>
      <c r="Y208" s="35"/>
      <c r="Z208" s="35"/>
      <c r="AA208" s="35"/>
      <c r="AB208" s="35"/>
      <c r="AC208" s="35">
        <f t="shared" si="1129"/>
        <v>5600</v>
      </c>
      <c r="AD208" s="35"/>
      <c r="AE208" s="35"/>
      <c r="AF208" s="35"/>
      <c r="AG208" s="35"/>
      <c r="AH208" s="35"/>
      <c r="AI208" s="35"/>
      <c r="AJ208" s="35">
        <v>5600</v>
      </c>
      <c r="AK208" s="35"/>
      <c r="AL208" s="35"/>
      <c r="AM208" s="35"/>
      <c r="AN208" s="35"/>
      <c r="AO208" s="35"/>
      <c r="AP208" s="35">
        <f t="shared" si="1130"/>
        <v>5600</v>
      </c>
      <c r="AQ208" s="35">
        <f t="shared" si="1085"/>
        <v>16800</v>
      </c>
      <c r="AR208" s="35"/>
      <c r="AS208" s="35"/>
      <c r="AT208" s="35"/>
      <c r="AU208" s="35"/>
      <c r="AV208" s="35"/>
      <c r="AW208" s="35"/>
      <c r="AX208" s="35">
        <v>5600</v>
      </c>
      <c r="AY208" s="35"/>
      <c r="AZ208" s="35"/>
      <c r="BA208" s="35"/>
      <c r="BB208" s="35"/>
      <c r="BC208" s="35"/>
      <c r="BD208" s="35">
        <f t="shared" si="1131"/>
        <v>5600</v>
      </c>
      <c r="BE208" s="35"/>
      <c r="BF208" s="35"/>
      <c r="BG208" s="35"/>
      <c r="BH208" s="35"/>
      <c r="BI208" s="35"/>
      <c r="BJ208" s="35"/>
      <c r="BK208" s="35">
        <v>5600</v>
      </c>
      <c r="BL208" s="35"/>
      <c r="BM208" s="35"/>
      <c r="BN208" s="35"/>
      <c r="BO208" s="35"/>
      <c r="BP208" s="35"/>
      <c r="BQ208" s="35">
        <f t="shared" si="1132"/>
        <v>5600</v>
      </c>
      <c r="BR208" s="35"/>
      <c r="BS208" s="35"/>
      <c r="BT208" s="35"/>
      <c r="BU208" s="35"/>
      <c r="BV208" s="35"/>
      <c r="BW208" s="35"/>
      <c r="BX208" s="35">
        <v>5600</v>
      </c>
      <c r="BY208" s="35"/>
      <c r="BZ208" s="35"/>
      <c r="CA208" s="35"/>
      <c r="CB208" s="35"/>
      <c r="CC208" s="35"/>
      <c r="CD208" s="35">
        <f t="shared" si="1133"/>
        <v>5600</v>
      </c>
      <c r="CE208" s="35">
        <f t="shared" si="1134"/>
        <v>16800</v>
      </c>
      <c r="CF208" s="35"/>
      <c r="CG208" s="35"/>
      <c r="CH208" s="35"/>
      <c r="CI208" s="35"/>
      <c r="CJ208" s="35"/>
      <c r="CK208" s="35"/>
      <c r="CL208" s="35">
        <v>5600</v>
      </c>
      <c r="CM208" s="35"/>
      <c r="CN208" s="35"/>
      <c r="CO208" s="35"/>
      <c r="CP208" s="35"/>
      <c r="CQ208" s="35"/>
      <c r="CR208" s="35">
        <f t="shared" si="1090"/>
        <v>5600</v>
      </c>
      <c r="CS208" s="35"/>
      <c r="CT208" s="35"/>
      <c r="CU208" s="35"/>
      <c r="CV208" s="35"/>
      <c r="CW208" s="35"/>
      <c r="CX208" s="35"/>
      <c r="CY208" s="35">
        <v>5600</v>
      </c>
      <c r="CZ208" s="35"/>
      <c r="DA208" s="35"/>
      <c r="DB208" s="35"/>
      <c r="DC208" s="35"/>
      <c r="DD208" s="35"/>
      <c r="DE208" s="35">
        <f t="shared" si="1135"/>
        <v>5600</v>
      </c>
      <c r="DF208" s="35"/>
      <c r="DG208" s="35"/>
      <c r="DH208" s="35"/>
      <c r="DI208" s="35"/>
      <c r="DJ208" s="35"/>
      <c r="DK208" s="35"/>
      <c r="DL208" s="35">
        <v>5600</v>
      </c>
      <c r="DM208" s="35"/>
      <c r="DN208" s="35"/>
      <c r="DO208" s="35"/>
      <c r="DP208" s="35"/>
      <c r="DQ208" s="35"/>
      <c r="DR208" s="35">
        <f t="shared" si="1092"/>
        <v>5600</v>
      </c>
      <c r="DS208" s="35">
        <f t="shared" si="1136"/>
        <v>16800</v>
      </c>
      <c r="DT208" s="35"/>
      <c r="DU208" s="35"/>
      <c r="DV208" s="35"/>
      <c r="DW208" s="35"/>
      <c r="DX208" s="35"/>
      <c r="DY208" s="35"/>
      <c r="DZ208" s="35">
        <v>5600</v>
      </c>
      <c r="EA208" s="35"/>
      <c r="EB208" s="35"/>
      <c r="EC208" s="35"/>
      <c r="ED208" s="35"/>
      <c r="EE208" s="35"/>
      <c r="EF208" s="35">
        <f t="shared" si="1094"/>
        <v>5600</v>
      </c>
      <c r="EG208" s="35"/>
      <c r="EH208" s="35"/>
      <c r="EI208" s="35"/>
      <c r="EJ208" s="35"/>
      <c r="EK208" s="35"/>
      <c r="EL208" s="35"/>
      <c r="EM208" s="35">
        <v>5600</v>
      </c>
      <c r="EN208" s="35"/>
      <c r="EO208" s="35"/>
      <c r="EP208" s="35"/>
      <c r="EQ208" s="35"/>
      <c r="ER208" s="35"/>
      <c r="ES208" s="35">
        <f t="shared" si="1137"/>
        <v>5600</v>
      </c>
      <c r="ET208" s="35"/>
      <c r="EU208" s="35"/>
      <c r="EV208" s="35"/>
      <c r="EW208" s="35"/>
      <c r="EX208" s="35"/>
      <c r="EY208" s="35"/>
      <c r="EZ208" s="35">
        <v>5600</v>
      </c>
      <c r="FA208" s="35"/>
      <c r="FB208" s="35"/>
      <c r="FC208" s="35"/>
      <c r="FD208" s="35"/>
      <c r="FE208" s="35"/>
      <c r="FF208" s="35">
        <f t="shared" si="1096"/>
        <v>5600</v>
      </c>
      <c r="FG208" s="35">
        <f t="shared" si="1138"/>
        <v>16800</v>
      </c>
      <c r="FH208" s="35">
        <f t="shared" si="1098"/>
        <v>67200</v>
      </c>
    </row>
    <row r="209" spans="1:164" x14ac:dyDescent="0.35">
      <c r="A209" s="34"/>
      <c r="B209" s="40"/>
      <c r="C209" s="41" t="s">
        <v>197</v>
      </c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>
        <f t="shared" si="1128"/>
        <v>0</v>
      </c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>
        <f t="shared" si="1129"/>
        <v>0</v>
      </c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>
        <f t="shared" si="1130"/>
        <v>0</v>
      </c>
      <c r="AQ209" s="35">
        <f t="shared" si="1085"/>
        <v>0</v>
      </c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>
        <f t="shared" si="1131"/>
        <v>0</v>
      </c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>
        <f t="shared" si="1132"/>
        <v>0</v>
      </c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>
        <f t="shared" si="1133"/>
        <v>0</v>
      </c>
      <c r="CE209" s="35">
        <f t="shared" si="1134"/>
        <v>0</v>
      </c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>
        <f t="shared" si="1090"/>
        <v>0</v>
      </c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>
        <f t="shared" si="1135"/>
        <v>0</v>
      </c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>
        <f t="shared" si="1092"/>
        <v>0</v>
      </c>
      <c r="DS209" s="35">
        <f t="shared" si="1136"/>
        <v>0</v>
      </c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>
        <f t="shared" si="1094"/>
        <v>0</v>
      </c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>
        <f t="shared" si="1137"/>
        <v>0</v>
      </c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>
        <f t="shared" si="1096"/>
        <v>0</v>
      </c>
      <c r="FG209" s="35">
        <f t="shared" si="1138"/>
        <v>0</v>
      </c>
      <c r="FH209" s="35">
        <f t="shared" si="1098"/>
        <v>0</v>
      </c>
    </row>
    <row r="210" spans="1:164" x14ac:dyDescent="0.35">
      <c r="A210" s="34"/>
      <c r="B210" s="40"/>
      <c r="C210" s="41" t="s">
        <v>198</v>
      </c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>
        <f t="shared" si="1128"/>
        <v>0</v>
      </c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>
        <f t="shared" si="1129"/>
        <v>0</v>
      </c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>
        <f t="shared" si="1130"/>
        <v>0</v>
      </c>
      <c r="AQ210" s="35">
        <f t="shared" si="1085"/>
        <v>0</v>
      </c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>
        <f t="shared" si="1131"/>
        <v>0</v>
      </c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>
        <f t="shared" si="1132"/>
        <v>0</v>
      </c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>
        <f t="shared" si="1133"/>
        <v>0</v>
      </c>
      <c r="CE210" s="35">
        <f t="shared" si="1134"/>
        <v>0</v>
      </c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>
        <f t="shared" si="1090"/>
        <v>0</v>
      </c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>
        <f t="shared" si="1135"/>
        <v>0</v>
      </c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>
        <f t="shared" si="1092"/>
        <v>0</v>
      </c>
      <c r="DS210" s="35">
        <f t="shared" si="1136"/>
        <v>0</v>
      </c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>
        <f t="shared" si="1094"/>
        <v>0</v>
      </c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>
        <f t="shared" si="1137"/>
        <v>0</v>
      </c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>
        <f t="shared" si="1096"/>
        <v>0</v>
      </c>
      <c r="FG210" s="35">
        <f t="shared" si="1138"/>
        <v>0</v>
      </c>
      <c r="FH210" s="35">
        <f t="shared" si="1098"/>
        <v>0</v>
      </c>
    </row>
    <row r="211" spans="1:164" x14ac:dyDescent="0.35">
      <c r="A211" s="34"/>
      <c r="B211" s="40"/>
      <c r="C211" s="41" t="s">
        <v>199</v>
      </c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>
        <f t="shared" si="1128"/>
        <v>0</v>
      </c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>
        <f t="shared" ref="AC211:AC214" si="1139">SUM(Q211:AB211)</f>
        <v>0</v>
      </c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>
        <f t="shared" ref="AP211:AP214" si="1140">SUM(AD211:AO211)</f>
        <v>0</v>
      </c>
      <c r="AQ211" s="35">
        <f t="shared" si="1085"/>
        <v>0</v>
      </c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>
        <f t="shared" si="1131"/>
        <v>0</v>
      </c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>
        <f t="shared" si="1132"/>
        <v>0</v>
      </c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>
        <f t="shared" si="1133"/>
        <v>0</v>
      </c>
      <c r="CE211" s="35">
        <f t="shared" si="1134"/>
        <v>0</v>
      </c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>
        <f t="shared" si="1090"/>
        <v>0</v>
      </c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>
        <f t="shared" si="1135"/>
        <v>0</v>
      </c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>
        <f t="shared" si="1092"/>
        <v>0</v>
      </c>
      <c r="DS211" s="35">
        <f t="shared" si="1136"/>
        <v>0</v>
      </c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>
        <f t="shared" si="1094"/>
        <v>0</v>
      </c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>
        <f t="shared" si="1137"/>
        <v>0</v>
      </c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>
        <f t="shared" si="1096"/>
        <v>0</v>
      </c>
      <c r="FG211" s="35">
        <f t="shared" si="1138"/>
        <v>0</v>
      </c>
      <c r="FH211" s="35">
        <f t="shared" si="1098"/>
        <v>0</v>
      </c>
    </row>
    <row r="212" spans="1:164" x14ac:dyDescent="0.35">
      <c r="A212" s="34"/>
      <c r="B212" s="40"/>
      <c r="C212" s="41" t="s">
        <v>200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>
        <f t="shared" si="1128"/>
        <v>0</v>
      </c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>
        <f t="shared" si="1139"/>
        <v>0</v>
      </c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>
        <f t="shared" si="1140"/>
        <v>0</v>
      </c>
      <c r="AQ212" s="35">
        <f t="shared" si="1085"/>
        <v>0</v>
      </c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>
        <f t="shared" si="1131"/>
        <v>0</v>
      </c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>
        <f t="shared" si="1132"/>
        <v>0</v>
      </c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>
        <f t="shared" si="1133"/>
        <v>0</v>
      </c>
      <c r="CE212" s="35">
        <f t="shared" si="1134"/>
        <v>0</v>
      </c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>
        <f t="shared" si="1090"/>
        <v>0</v>
      </c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>
        <f t="shared" si="1135"/>
        <v>0</v>
      </c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>
        <f t="shared" si="1092"/>
        <v>0</v>
      </c>
      <c r="DS212" s="35">
        <f t="shared" si="1136"/>
        <v>0</v>
      </c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>
        <f t="shared" si="1094"/>
        <v>0</v>
      </c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>
        <f t="shared" si="1137"/>
        <v>0</v>
      </c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>
        <f t="shared" si="1096"/>
        <v>0</v>
      </c>
      <c r="FG212" s="35">
        <f t="shared" si="1138"/>
        <v>0</v>
      </c>
      <c r="FH212" s="35">
        <f t="shared" si="1098"/>
        <v>0</v>
      </c>
    </row>
    <row r="213" spans="1:164" x14ac:dyDescent="0.35">
      <c r="A213" s="34"/>
      <c r="B213" s="40"/>
      <c r="C213" s="41" t="s">
        <v>201</v>
      </c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>
        <f t="shared" si="1128"/>
        <v>0</v>
      </c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>
        <f t="shared" si="1139"/>
        <v>0</v>
      </c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>
        <f t="shared" si="1140"/>
        <v>0</v>
      </c>
      <c r="AQ213" s="35">
        <f t="shared" si="1085"/>
        <v>0</v>
      </c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>
        <f t="shared" si="1131"/>
        <v>0</v>
      </c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>
        <f t="shared" si="1132"/>
        <v>0</v>
      </c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>
        <f t="shared" si="1133"/>
        <v>0</v>
      </c>
      <c r="CE213" s="35">
        <f t="shared" si="1134"/>
        <v>0</v>
      </c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>
        <f t="shared" si="1090"/>
        <v>0</v>
      </c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>
        <f t="shared" si="1135"/>
        <v>0</v>
      </c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>
        <f t="shared" si="1092"/>
        <v>0</v>
      </c>
      <c r="DS213" s="35">
        <f t="shared" si="1136"/>
        <v>0</v>
      </c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>
        <f t="shared" si="1094"/>
        <v>0</v>
      </c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>
        <f t="shared" si="1137"/>
        <v>0</v>
      </c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>
        <f t="shared" si="1096"/>
        <v>0</v>
      </c>
      <c r="FG213" s="35">
        <f t="shared" si="1138"/>
        <v>0</v>
      </c>
      <c r="FH213" s="35">
        <f t="shared" si="1098"/>
        <v>0</v>
      </c>
    </row>
    <row r="214" spans="1:164" x14ac:dyDescent="0.35">
      <c r="A214" s="34"/>
      <c r="B214" s="40"/>
      <c r="C214" s="41" t="s">
        <v>202</v>
      </c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>
        <f t="shared" si="1128"/>
        <v>0</v>
      </c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>
        <f t="shared" si="1139"/>
        <v>0</v>
      </c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>
        <f t="shared" si="1140"/>
        <v>0</v>
      </c>
      <c r="AQ214" s="35">
        <f t="shared" si="1085"/>
        <v>0</v>
      </c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>
        <f t="shared" si="1131"/>
        <v>0</v>
      </c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>
        <f t="shared" si="1132"/>
        <v>0</v>
      </c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>
        <f t="shared" si="1133"/>
        <v>0</v>
      </c>
      <c r="CE214" s="35">
        <f t="shared" si="1134"/>
        <v>0</v>
      </c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>
        <f t="shared" si="1090"/>
        <v>0</v>
      </c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>
        <f t="shared" si="1135"/>
        <v>0</v>
      </c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>
        <f t="shared" si="1092"/>
        <v>0</v>
      </c>
      <c r="DS214" s="35">
        <f t="shared" si="1136"/>
        <v>0</v>
      </c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>
        <f t="shared" si="1094"/>
        <v>0</v>
      </c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>
        <f t="shared" si="1137"/>
        <v>0</v>
      </c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>
        <f t="shared" si="1096"/>
        <v>0</v>
      </c>
      <c r="FG214" s="35">
        <f t="shared" si="1138"/>
        <v>0</v>
      </c>
      <c r="FH214" s="35">
        <f t="shared" si="1098"/>
        <v>0</v>
      </c>
    </row>
    <row r="215" spans="1:164" x14ac:dyDescent="0.35">
      <c r="A215" s="34"/>
      <c r="B215" s="40"/>
      <c r="C215" s="41" t="s">
        <v>238</v>
      </c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>
        <f t="shared" ref="P215:P217" si="1141">SUM(D215:O215)</f>
        <v>0</v>
      </c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>
        <f t="shared" ref="AC215:AC217" si="1142">SUM(Q215:AB215)</f>
        <v>0</v>
      </c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>
        <f t="shared" ref="AP215:AP217" si="1143">SUM(AD215:AO215)</f>
        <v>0</v>
      </c>
      <c r="AQ215" s="35">
        <f t="shared" si="1085"/>
        <v>0</v>
      </c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>
        <f t="shared" ref="BD215:BD217" si="1144">SUM(AR215:BC215)</f>
        <v>0</v>
      </c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>
        <f t="shared" ref="BQ215:BQ217" si="1145">SUM(BE215:BP215)</f>
        <v>0</v>
      </c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>
        <f t="shared" si="1133"/>
        <v>0</v>
      </c>
      <c r="CE215" s="35">
        <f t="shared" si="1134"/>
        <v>0</v>
      </c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>
        <f t="shared" si="1090"/>
        <v>0</v>
      </c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>
        <f t="shared" si="1135"/>
        <v>0</v>
      </c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>
        <f t="shared" si="1092"/>
        <v>0</v>
      </c>
      <c r="DS215" s="35">
        <f t="shared" si="1136"/>
        <v>0</v>
      </c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>
        <f t="shared" si="1094"/>
        <v>0</v>
      </c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>
        <f t="shared" si="1137"/>
        <v>0</v>
      </c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>
        <f t="shared" si="1096"/>
        <v>0</v>
      </c>
      <c r="FG215" s="35">
        <f t="shared" si="1138"/>
        <v>0</v>
      </c>
      <c r="FH215" s="35">
        <f t="shared" si="1098"/>
        <v>0</v>
      </c>
    </row>
    <row r="216" spans="1:164" x14ac:dyDescent="0.35">
      <c r="A216" s="34"/>
      <c r="B216" s="40"/>
      <c r="C216" s="41" t="s">
        <v>243</v>
      </c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>
        <f t="shared" si="1141"/>
        <v>0</v>
      </c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>
        <f t="shared" si="1142"/>
        <v>0</v>
      </c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>
        <f t="shared" si="1143"/>
        <v>0</v>
      </c>
      <c r="AQ216" s="35">
        <f t="shared" si="1085"/>
        <v>0</v>
      </c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>
        <f t="shared" si="1144"/>
        <v>0</v>
      </c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>
        <f t="shared" si="1145"/>
        <v>0</v>
      </c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>
        <f t="shared" si="1133"/>
        <v>0</v>
      </c>
      <c r="CE216" s="35">
        <f t="shared" si="1134"/>
        <v>0</v>
      </c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>
        <f t="shared" si="1090"/>
        <v>0</v>
      </c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>
        <f t="shared" si="1135"/>
        <v>0</v>
      </c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>
        <f t="shared" si="1092"/>
        <v>0</v>
      </c>
      <c r="DS216" s="35">
        <f t="shared" si="1136"/>
        <v>0</v>
      </c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>
        <f t="shared" si="1094"/>
        <v>0</v>
      </c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>
        <f t="shared" si="1137"/>
        <v>0</v>
      </c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>
        <f t="shared" si="1096"/>
        <v>0</v>
      </c>
      <c r="FG216" s="35">
        <f t="shared" si="1138"/>
        <v>0</v>
      </c>
      <c r="FH216" s="35">
        <f t="shared" si="1098"/>
        <v>0</v>
      </c>
    </row>
    <row r="217" spans="1:164" x14ac:dyDescent="0.35">
      <c r="A217" s="34"/>
      <c r="B217" s="40"/>
      <c r="C217" s="41" t="s">
        <v>244</v>
      </c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>
        <f t="shared" si="1141"/>
        <v>0</v>
      </c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>
        <f t="shared" si="1142"/>
        <v>0</v>
      </c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>
        <f t="shared" si="1143"/>
        <v>0</v>
      </c>
      <c r="AQ217" s="35">
        <f t="shared" si="1085"/>
        <v>0</v>
      </c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>
        <f t="shared" si="1144"/>
        <v>0</v>
      </c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>
        <f t="shared" si="1145"/>
        <v>0</v>
      </c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>
        <f t="shared" si="1133"/>
        <v>0</v>
      </c>
      <c r="CE217" s="35">
        <f t="shared" si="1134"/>
        <v>0</v>
      </c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>
        <f t="shared" si="1090"/>
        <v>0</v>
      </c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>
        <f t="shared" si="1135"/>
        <v>0</v>
      </c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>
        <f t="shared" si="1092"/>
        <v>0</v>
      </c>
      <c r="DS217" s="35">
        <f t="shared" si="1136"/>
        <v>0</v>
      </c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>
        <f t="shared" si="1094"/>
        <v>0</v>
      </c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>
        <f t="shared" si="1137"/>
        <v>0</v>
      </c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>
        <f t="shared" si="1096"/>
        <v>0</v>
      </c>
      <c r="FG217" s="35">
        <f t="shared" si="1138"/>
        <v>0</v>
      </c>
      <c r="FH217" s="35">
        <f t="shared" si="1098"/>
        <v>0</v>
      </c>
    </row>
    <row r="218" spans="1:164" x14ac:dyDescent="0.35">
      <c r="A218" s="34"/>
      <c r="B218" s="40"/>
      <c r="C218" s="41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>
        <f t="shared" ref="P218:P239" si="1146">SUM(D218:O218)</f>
        <v>0</v>
      </c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>
        <f t="shared" ref="AC218:AC239" si="1147">SUM(Q218:AB218)</f>
        <v>0</v>
      </c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>
        <f t="shared" ref="AP218:AP236" si="1148">SUM(AD218:AO218)</f>
        <v>0</v>
      </c>
      <c r="AQ218" s="35">
        <f t="shared" si="1085"/>
        <v>0</v>
      </c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>
        <f t="shared" ref="BD218:BD236" si="1149">SUM(AR218:BC218)</f>
        <v>0</v>
      </c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>
        <f t="shared" ref="BQ218:BQ236" si="1150">SUM(BE218:BP218)</f>
        <v>0</v>
      </c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>
        <f t="shared" si="1133"/>
        <v>0</v>
      </c>
      <c r="CE218" s="35">
        <f t="shared" si="1134"/>
        <v>0</v>
      </c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>
        <f t="shared" si="1090"/>
        <v>0</v>
      </c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>
        <f t="shared" si="1135"/>
        <v>0</v>
      </c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>
        <f t="shared" si="1092"/>
        <v>0</v>
      </c>
      <c r="DS218" s="35">
        <f t="shared" si="1136"/>
        <v>0</v>
      </c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>
        <f t="shared" si="1094"/>
        <v>0</v>
      </c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>
        <f t="shared" si="1137"/>
        <v>0</v>
      </c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>
        <f t="shared" si="1096"/>
        <v>0</v>
      </c>
      <c r="FG218" s="35">
        <f t="shared" si="1138"/>
        <v>0</v>
      </c>
      <c r="FH218" s="35">
        <f t="shared" si="1098"/>
        <v>0</v>
      </c>
    </row>
    <row r="219" spans="1:164" x14ac:dyDescent="0.35">
      <c r="A219" s="48"/>
      <c r="B219" s="49" t="s">
        <v>104</v>
      </c>
      <c r="C219" s="50"/>
      <c r="D219" s="51">
        <f>SUM(D199:D218)</f>
        <v>0</v>
      </c>
      <c r="E219" s="51">
        <f t="shared" ref="E219:O219" si="1151">SUM(E199:E218)</f>
        <v>0</v>
      </c>
      <c r="F219" s="51">
        <f t="shared" si="1151"/>
        <v>0</v>
      </c>
      <c r="G219" s="51">
        <f t="shared" si="1151"/>
        <v>0</v>
      </c>
      <c r="H219" s="51">
        <f t="shared" si="1151"/>
        <v>0</v>
      </c>
      <c r="I219" s="51">
        <f t="shared" si="1151"/>
        <v>0</v>
      </c>
      <c r="J219" s="51">
        <f t="shared" si="1151"/>
        <v>22400</v>
      </c>
      <c r="K219" s="51">
        <f t="shared" si="1151"/>
        <v>0</v>
      </c>
      <c r="L219" s="51">
        <f t="shared" si="1151"/>
        <v>0</v>
      </c>
      <c r="M219" s="51">
        <f t="shared" si="1151"/>
        <v>0</v>
      </c>
      <c r="N219" s="51">
        <f t="shared" si="1151"/>
        <v>0</v>
      </c>
      <c r="O219" s="51">
        <f t="shared" si="1151"/>
        <v>0</v>
      </c>
      <c r="P219" s="51">
        <f>SUM(D219:O219)</f>
        <v>22400</v>
      </c>
      <c r="Q219" s="51">
        <f>SUM(Q199:Q218)</f>
        <v>0</v>
      </c>
      <c r="R219" s="51">
        <f t="shared" ref="R219:AB219" si="1152">SUM(R199:R218)</f>
        <v>0</v>
      </c>
      <c r="S219" s="51">
        <f t="shared" si="1152"/>
        <v>0</v>
      </c>
      <c r="T219" s="51">
        <f t="shared" si="1152"/>
        <v>0</v>
      </c>
      <c r="U219" s="51">
        <f t="shared" si="1152"/>
        <v>0</v>
      </c>
      <c r="V219" s="51">
        <f t="shared" si="1152"/>
        <v>0</v>
      </c>
      <c r="W219" s="51">
        <f t="shared" si="1152"/>
        <v>22400</v>
      </c>
      <c r="X219" s="51">
        <f t="shared" si="1152"/>
        <v>0</v>
      </c>
      <c r="Y219" s="51">
        <f t="shared" si="1152"/>
        <v>0</v>
      </c>
      <c r="Z219" s="51">
        <f t="shared" si="1152"/>
        <v>0</v>
      </c>
      <c r="AA219" s="51">
        <f t="shared" si="1152"/>
        <v>0</v>
      </c>
      <c r="AB219" s="51">
        <f t="shared" si="1152"/>
        <v>0</v>
      </c>
      <c r="AC219" s="51">
        <f t="shared" si="1147"/>
        <v>22400</v>
      </c>
      <c r="AD219" s="51">
        <f>SUM(AD199:AD218)</f>
        <v>0</v>
      </c>
      <c r="AE219" s="51">
        <f t="shared" ref="AE219:AO219" si="1153">SUM(AE199:AE218)</f>
        <v>0</v>
      </c>
      <c r="AF219" s="51">
        <f t="shared" si="1153"/>
        <v>0</v>
      </c>
      <c r="AG219" s="51">
        <f t="shared" si="1153"/>
        <v>0</v>
      </c>
      <c r="AH219" s="51">
        <f t="shared" si="1153"/>
        <v>0</v>
      </c>
      <c r="AI219" s="51">
        <f t="shared" si="1153"/>
        <v>0</v>
      </c>
      <c r="AJ219" s="51">
        <f t="shared" si="1153"/>
        <v>22400</v>
      </c>
      <c r="AK219" s="51">
        <f t="shared" si="1153"/>
        <v>0</v>
      </c>
      <c r="AL219" s="51">
        <f t="shared" si="1153"/>
        <v>0</v>
      </c>
      <c r="AM219" s="51">
        <f t="shared" si="1153"/>
        <v>0</v>
      </c>
      <c r="AN219" s="51">
        <f t="shared" si="1153"/>
        <v>0</v>
      </c>
      <c r="AO219" s="51">
        <f t="shared" si="1153"/>
        <v>0</v>
      </c>
      <c r="AP219" s="51">
        <f t="shared" si="1148"/>
        <v>22400</v>
      </c>
      <c r="AQ219" s="51">
        <f t="shared" si="1085"/>
        <v>67200</v>
      </c>
      <c r="AR219" s="51">
        <f>SUM(AR199:AR218)</f>
        <v>0</v>
      </c>
      <c r="AS219" s="51">
        <f t="shared" ref="AS219:BC219" si="1154">SUM(AS199:AS218)</f>
        <v>0</v>
      </c>
      <c r="AT219" s="51">
        <f t="shared" si="1154"/>
        <v>0</v>
      </c>
      <c r="AU219" s="51">
        <f t="shared" si="1154"/>
        <v>0</v>
      </c>
      <c r="AV219" s="51">
        <f t="shared" si="1154"/>
        <v>0</v>
      </c>
      <c r="AW219" s="51">
        <f t="shared" si="1154"/>
        <v>0</v>
      </c>
      <c r="AX219" s="51">
        <f t="shared" si="1154"/>
        <v>28000</v>
      </c>
      <c r="AY219" s="51">
        <f t="shared" si="1154"/>
        <v>0</v>
      </c>
      <c r="AZ219" s="51">
        <f t="shared" si="1154"/>
        <v>0</v>
      </c>
      <c r="BA219" s="51">
        <f t="shared" si="1154"/>
        <v>0</v>
      </c>
      <c r="BB219" s="51">
        <f t="shared" si="1154"/>
        <v>0</v>
      </c>
      <c r="BC219" s="51">
        <f t="shared" si="1154"/>
        <v>0</v>
      </c>
      <c r="BD219" s="51">
        <f t="shared" si="1149"/>
        <v>28000</v>
      </c>
      <c r="BE219" s="51">
        <f>SUM(BE199:BE218)</f>
        <v>0</v>
      </c>
      <c r="BF219" s="51">
        <f t="shared" ref="BF219:BP219" si="1155">SUM(BF199:BF218)</f>
        <v>0</v>
      </c>
      <c r="BG219" s="51">
        <f t="shared" si="1155"/>
        <v>0</v>
      </c>
      <c r="BH219" s="51">
        <f t="shared" si="1155"/>
        <v>0</v>
      </c>
      <c r="BI219" s="51">
        <f t="shared" si="1155"/>
        <v>0</v>
      </c>
      <c r="BJ219" s="51">
        <f t="shared" si="1155"/>
        <v>0</v>
      </c>
      <c r="BK219" s="51">
        <f t="shared" si="1155"/>
        <v>44800</v>
      </c>
      <c r="BL219" s="51">
        <f t="shared" si="1155"/>
        <v>0</v>
      </c>
      <c r="BM219" s="51">
        <f t="shared" si="1155"/>
        <v>0</v>
      </c>
      <c r="BN219" s="51">
        <f t="shared" si="1155"/>
        <v>0</v>
      </c>
      <c r="BO219" s="51">
        <f t="shared" si="1155"/>
        <v>0</v>
      </c>
      <c r="BP219" s="51">
        <f t="shared" si="1155"/>
        <v>0</v>
      </c>
      <c r="BQ219" s="51">
        <f t="shared" si="1150"/>
        <v>44800</v>
      </c>
      <c r="BR219" s="51">
        <f>SUM(BR199:BR218)</f>
        <v>0</v>
      </c>
      <c r="BS219" s="51">
        <f t="shared" ref="BS219:CC219" si="1156">SUM(BS199:BS218)</f>
        <v>0</v>
      </c>
      <c r="BT219" s="51">
        <f t="shared" si="1156"/>
        <v>0</v>
      </c>
      <c r="BU219" s="51">
        <f t="shared" si="1156"/>
        <v>0</v>
      </c>
      <c r="BV219" s="51">
        <f t="shared" si="1156"/>
        <v>0</v>
      </c>
      <c r="BW219" s="51">
        <f t="shared" si="1156"/>
        <v>0</v>
      </c>
      <c r="BX219" s="51">
        <f t="shared" si="1156"/>
        <v>28000</v>
      </c>
      <c r="BY219" s="51">
        <f t="shared" si="1156"/>
        <v>0</v>
      </c>
      <c r="BZ219" s="51">
        <f t="shared" si="1156"/>
        <v>0</v>
      </c>
      <c r="CA219" s="51">
        <f t="shared" si="1156"/>
        <v>0</v>
      </c>
      <c r="CB219" s="51">
        <f t="shared" si="1156"/>
        <v>0</v>
      </c>
      <c r="CC219" s="51">
        <f t="shared" si="1156"/>
        <v>0</v>
      </c>
      <c r="CD219" s="51">
        <f t="shared" si="1133"/>
        <v>28000</v>
      </c>
      <c r="CE219" s="51">
        <f t="shared" si="1134"/>
        <v>100800</v>
      </c>
      <c r="CF219" s="51">
        <f>SUM(CF199:CF218)</f>
        <v>0</v>
      </c>
      <c r="CG219" s="51">
        <f t="shared" ref="CG219:CQ219" si="1157">SUM(CG199:CG218)</f>
        <v>0</v>
      </c>
      <c r="CH219" s="51">
        <f t="shared" si="1157"/>
        <v>0</v>
      </c>
      <c r="CI219" s="51">
        <f t="shared" si="1157"/>
        <v>0</v>
      </c>
      <c r="CJ219" s="51">
        <f t="shared" si="1157"/>
        <v>0</v>
      </c>
      <c r="CK219" s="51">
        <f t="shared" si="1157"/>
        <v>0</v>
      </c>
      <c r="CL219" s="51">
        <f t="shared" si="1157"/>
        <v>28000</v>
      </c>
      <c r="CM219" s="51">
        <f t="shared" si="1157"/>
        <v>0</v>
      </c>
      <c r="CN219" s="51">
        <f t="shared" si="1157"/>
        <v>0</v>
      </c>
      <c r="CO219" s="51">
        <f t="shared" si="1157"/>
        <v>0</v>
      </c>
      <c r="CP219" s="51">
        <f t="shared" si="1157"/>
        <v>0</v>
      </c>
      <c r="CQ219" s="51">
        <f t="shared" si="1157"/>
        <v>0</v>
      </c>
      <c r="CR219" s="51">
        <f t="shared" si="1090"/>
        <v>28000</v>
      </c>
      <c r="CS219" s="51">
        <f>SUM(CS199:CS218)</f>
        <v>0</v>
      </c>
      <c r="CT219" s="51">
        <f t="shared" ref="CT219:DD219" si="1158">SUM(CT199:CT218)</f>
        <v>0</v>
      </c>
      <c r="CU219" s="51">
        <f t="shared" si="1158"/>
        <v>0</v>
      </c>
      <c r="CV219" s="51">
        <f t="shared" si="1158"/>
        <v>0</v>
      </c>
      <c r="CW219" s="51">
        <f t="shared" si="1158"/>
        <v>0</v>
      </c>
      <c r="CX219" s="51">
        <f t="shared" si="1158"/>
        <v>0</v>
      </c>
      <c r="CY219" s="51">
        <f t="shared" si="1158"/>
        <v>28000</v>
      </c>
      <c r="CZ219" s="51">
        <f t="shared" si="1158"/>
        <v>0</v>
      </c>
      <c r="DA219" s="51">
        <f t="shared" si="1158"/>
        <v>0</v>
      </c>
      <c r="DB219" s="51">
        <f t="shared" si="1158"/>
        <v>0</v>
      </c>
      <c r="DC219" s="51">
        <f t="shared" si="1158"/>
        <v>0</v>
      </c>
      <c r="DD219" s="51">
        <f t="shared" si="1158"/>
        <v>0</v>
      </c>
      <c r="DE219" s="51">
        <f t="shared" si="1135"/>
        <v>28000</v>
      </c>
      <c r="DF219" s="51">
        <f>SUM(DF199:DF218)</f>
        <v>0</v>
      </c>
      <c r="DG219" s="51">
        <f t="shared" ref="DG219:DQ219" si="1159">SUM(DG199:DG218)</f>
        <v>0</v>
      </c>
      <c r="DH219" s="51">
        <f t="shared" si="1159"/>
        <v>0</v>
      </c>
      <c r="DI219" s="51">
        <f t="shared" si="1159"/>
        <v>0</v>
      </c>
      <c r="DJ219" s="51">
        <f t="shared" si="1159"/>
        <v>0</v>
      </c>
      <c r="DK219" s="51">
        <f t="shared" si="1159"/>
        <v>0</v>
      </c>
      <c r="DL219" s="51">
        <f t="shared" si="1159"/>
        <v>28000</v>
      </c>
      <c r="DM219" s="51">
        <f t="shared" si="1159"/>
        <v>0</v>
      </c>
      <c r="DN219" s="51">
        <f t="shared" si="1159"/>
        <v>0</v>
      </c>
      <c r="DO219" s="51">
        <f t="shared" si="1159"/>
        <v>0</v>
      </c>
      <c r="DP219" s="51">
        <f t="shared" si="1159"/>
        <v>0</v>
      </c>
      <c r="DQ219" s="51">
        <f t="shared" si="1159"/>
        <v>0</v>
      </c>
      <c r="DR219" s="51">
        <f t="shared" si="1092"/>
        <v>28000</v>
      </c>
      <c r="DS219" s="51">
        <f t="shared" si="1136"/>
        <v>84000</v>
      </c>
      <c r="DT219" s="51">
        <f>SUM(DT199:DT218)</f>
        <v>0</v>
      </c>
      <c r="DU219" s="51">
        <f t="shared" ref="DU219:EE219" si="1160">SUM(DU199:DU218)</f>
        <v>0</v>
      </c>
      <c r="DV219" s="51">
        <f t="shared" si="1160"/>
        <v>0</v>
      </c>
      <c r="DW219" s="51">
        <f t="shared" si="1160"/>
        <v>0</v>
      </c>
      <c r="DX219" s="51">
        <f t="shared" si="1160"/>
        <v>0</v>
      </c>
      <c r="DY219" s="51">
        <f t="shared" si="1160"/>
        <v>0</v>
      </c>
      <c r="DZ219" s="51">
        <f t="shared" si="1160"/>
        <v>28000</v>
      </c>
      <c r="EA219" s="51">
        <f t="shared" si="1160"/>
        <v>0</v>
      </c>
      <c r="EB219" s="51">
        <f t="shared" si="1160"/>
        <v>0</v>
      </c>
      <c r="EC219" s="51">
        <f t="shared" si="1160"/>
        <v>0</v>
      </c>
      <c r="ED219" s="51">
        <f t="shared" si="1160"/>
        <v>0</v>
      </c>
      <c r="EE219" s="51">
        <f t="shared" si="1160"/>
        <v>0</v>
      </c>
      <c r="EF219" s="51">
        <f t="shared" si="1094"/>
        <v>28000</v>
      </c>
      <c r="EG219" s="51">
        <f>SUM(EG199:EG218)</f>
        <v>0</v>
      </c>
      <c r="EH219" s="51">
        <f t="shared" ref="EH219:ER219" si="1161">SUM(EH199:EH218)</f>
        <v>0</v>
      </c>
      <c r="EI219" s="51">
        <f t="shared" si="1161"/>
        <v>0</v>
      </c>
      <c r="EJ219" s="51">
        <f t="shared" si="1161"/>
        <v>0</v>
      </c>
      <c r="EK219" s="51">
        <f t="shared" si="1161"/>
        <v>0</v>
      </c>
      <c r="EL219" s="51">
        <f t="shared" si="1161"/>
        <v>0</v>
      </c>
      <c r="EM219" s="51">
        <f t="shared" si="1161"/>
        <v>28000</v>
      </c>
      <c r="EN219" s="51">
        <f t="shared" si="1161"/>
        <v>0</v>
      </c>
      <c r="EO219" s="51">
        <f t="shared" si="1161"/>
        <v>0</v>
      </c>
      <c r="EP219" s="51">
        <f t="shared" si="1161"/>
        <v>0</v>
      </c>
      <c r="EQ219" s="51">
        <f t="shared" si="1161"/>
        <v>0</v>
      </c>
      <c r="ER219" s="51">
        <f t="shared" si="1161"/>
        <v>0</v>
      </c>
      <c r="ES219" s="51">
        <f t="shared" si="1137"/>
        <v>28000</v>
      </c>
      <c r="ET219" s="51">
        <f>SUM(ET199:ET218)</f>
        <v>0</v>
      </c>
      <c r="EU219" s="51">
        <f t="shared" ref="EU219:FE219" si="1162">SUM(EU199:EU218)</f>
        <v>0</v>
      </c>
      <c r="EV219" s="51">
        <f t="shared" si="1162"/>
        <v>0</v>
      </c>
      <c r="EW219" s="51">
        <f t="shared" si="1162"/>
        <v>0</v>
      </c>
      <c r="EX219" s="51">
        <f t="shared" si="1162"/>
        <v>0</v>
      </c>
      <c r="EY219" s="51">
        <f t="shared" si="1162"/>
        <v>0</v>
      </c>
      <c r="EZ219" s="51">
        <f t="shared" si="1162"/>
        <v>28000</v>
      </c>
      <c r="FA219" s="51">
        <f t="shared" si="1162"/>
        <v>0</v>
      </c>
      <c r="FB219" s="51">
        <f t="shared" si="1162"/>
        <v>0</v>
      </c>
      <c r="FC219" s="51">
        <f t="shared" si="1162"/>
        <v>0</v>
      </c>
      <c r="FD219" s="51">
        <f t="shared" si="1162"/>
        <v>0</v>
      </c>
      <c r="FE219" s="51">
        <f t="shared" si="1162"/>
        <v>0</v>
      </c>
      <c r="FF219" s="51">
        <f t="shared" si="1096"/>
        <v>28000</v>
      </c>
      <c r="FG219" s="51">
        <f t="shared" si="1138"/>
        <v>84000</v>
      </c>
      <c r="FH219" s="35">
        <f t="shared" si="1098"/>
        <v>336000</v>
      </c>
    </row>
    <row r="220" spans="1:164" x14ac:dyDescent="0.35">
      <c r="A220" s="34" t="s">
        <v>4</v>
      </c>
      <c r="B220" s="40" t="s">
        <v>27</v>
      </c>
      <c r="C220" s="41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>
        <f t="shared" si="1146"/>
        <v>0</v>
      </c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>
        <f t="shared" si="1147"/>
        <v>0</v>
      </c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>
        <f t="shared" si="1148"/>
        <v>0</v>
      </c>
      <c r="AQ220" s="35">
        <f t="shared" ref="AQ220:AQ239" si="1163">+P220+AC220+AP220</f>
        <v>0</v>
      </c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>
        <f t="shared" si="1149"/>
        <v>0</v>
      </c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>
        <f t="shared" si="1150"/>
        <v>0</v>
      </c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>
        <f t="shared" si="1133"/>
        <v>0</v>
      </c>
      <c r="CE220" s="35">
        <f t="shared" si="1134"/>
        <v>0</v>
      </c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>
        <f t="shared" ref="CR220:CR238" si="1164">SUM(CF220:CQ220)</f>
        <v>0</v>
      </c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>
        <f t="shared" si="1135"/>
        <v>0</v>
      </c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>
        <f t="shared" ref="DR220:DR239" si="1165">SUM(DF220:DQ220)</f>
        <v>0</v>
      </c>
      <c r="DS220" s="35">
        <f t="shared" si="1136"/>
        <v>0</v>
      </c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>
        <f t="shared" ref="EF220:EF238" si="1166">SUM(DT220:EE220)</f>
        <v>0</v>
      </c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>
        <f t="shared" si="1137"/>
        <v>0</v>
      </c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>
        <f t="shared" ref="FF220:FF239" si="1167">SUM(ET220:FE220)</f>
        <v>0</v>
      </c>
      <c r="FG220" s="35">
        <f t="shared" si="1138"/>
        <v>0</v>
      </c>
      <c r="FH220" s="35">
        <f t="shared" ref="FH220:FH239" si="1168">+AQ220+CE220+DS220+FG220</f>
        <v>0</v>
      </c>
    </row>
    <row r="221" spans="1:164" x14ac:dyDescent="0.35">
      <c r="A221" s="34"/>
      <c r="B221" s="40"/>
      <c r="C221" s="54" t="s">
        <v>206</v>
      </c>
      <c r="D221" s="35">
        <v>5600</v>
      </c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>
        <f t="shared" si="1146"/>
        <v>5600</v>
      </c>
      <c r="Q221" s="35">
        <v>5600</v>
      </c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>
        <f t="shared" si="1147"/>
        <v>5600</v>
      </c>
      <c r="AD221" s="35">
        <v>5600</v>
      </c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>
        <f t="shared" si="1148"/>
        <v>5600</v>
      </c>
      <c r="AQ221" s="35">
        <f t="shared" si="1163"/>
        <v>16800</v>
      </c>
      <c r="AR221" s="35">
        <v>5600</v>
      </c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>
        <f t="shared" si="1149"/>
        <v>5600</v>
      </c>
      <c r="BE221" s="35">
        <v>5600</v>
      </c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>
        <f t="shared" si="1150"/>
        <v>5600</v>
      </c>
      <c r="BR221" s="35">
        <v>5600</v>
      </c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>
        <f t="shared" si="1133"/>
        <v>5600</v>
      </c>
      <c r="CE221" s="35">
        <f t="shared" si="1134"/>
        <v>16800</v>
      </c>
      <c r="CF221" s="35">
        <v>5600</v>
      </c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>
        <f t="shared" si="1164"/>
        <v>5600</v>
      </c>
      <c r="CS221" s="35">
        <v>5600</v>
      </c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>
        <f t="shared" si="1135"/>
        <v>5600</v>
      </c>
      <c r="DF221" s="35">
        <v>5600</v>
      </c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>
        <f t="shared" si="1165"/>
        <v>5600</v>
      </c>
      <c r="DS221" s="35">
        <f t="shared" si="1136"/>
        <v>16800</v>
      </c>
      <c r="DT221" s="35">
        <v>5600</v>
      </c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>
        <f t="shared" si="1166"/>
        <v>5600</v>
      </c>
      <c r="EG221" s="35">
        <v>5600</v>
      </c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>
        <f t="shared" si="1137"/>
        <v>5600</v>
      </c>
      <c r="ET221" s="35">
        <v>5600</v>
      </c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>
        <f t="shared" si="1167"/>
        <v>5600</v>
      </c>
      <c r="FG221" s="35">
        <f t="shared" si="1138"/>
        <v>16800</v>
      </c>
      <c r="FH221" s="35">
        <f t="shared" si="1168"/>
        <v>67200</v>
      </c>
    </row>
    <row r="222" spans="1:164" x14ac:dyDescent="0.35">
      <c r="A222" s="34"/>
      <c r="B222" s="40"/>
      <c r="C222" s="41" t="s">
        <v>207</v>
      </c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>
        <f t="shared" si="1146"/>
        <v>0</v>
      </c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>
        <f t="shared" si="1147"/>
        <v>0</v>
      </c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>
        <f t="shared" si="1148"/>
        <v>0</v>
      </c>
      <c r="AQ222" s="35">
        <f t="shared" si="1163"/>
        <v>0</v>
      </c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>
        <f t="shared" si="1149"/>
        <v>0</v>
      </c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>
        <f t="shared" si="1150"/>
        <v>0</v>
      </c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>
        <f t="shared" si="1133"/>
        <v>0</v>
      </c>
      <c r="CE222" s="35">
        <f t="shared" si="1134"/>
        <v>0</v>
      </c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>
        <f t="shared" si="1164"/>
        <v>0</v>
      </c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>
        <f t="shared" si="1135"/>
        <v>0</v>
      </c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>
        <f t="shared" si="1165"/>
        <v>0</v>
      </c>
      <c r="DS222" s="35">
        <f t="shared" si="1136"/>
        <v>0</v>
      </c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>
        <f t="shared" si="1166"/>
        <v>0</v>
      </c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>
        <f t="shared" si="1137"/>
        <v>0</v>
      </c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>
        <f t="shared" si="1167"/>
        <v>0</v>
      </c>
      <c r="FG222" s="35">
        <f t="shared" si="1138"/>
        <v>0</v>
      </c>
      <c r="FH222" s="35">
        <f t="shared" si="1168"/>
        <v>0</v>
      </c>
    </row>
    <row r="223" spans="1:164" x14ac:dyDescent="0.35">
      <c r="A223" s="34"/>
      <c r="B223" s="40"/>
      <c r="C223" s="41" t="s">
        <v>208</v>
      </c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>
        <f t="shared" si="1146"/>
        <v>0</v>
      </c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>
        <f t="shared" si="1147"/>
        <v>0</v>
      </c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>
        <f t="shared" si="1148"/>
        <v>0</v>
      </c>
      <c r="AQ223" s="35">
        <f t="shared" si="1163"/>
        <v>0</v>
      </c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>
        <f t="shared" si="1149"/>
        <v>0</v>
      </c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>
        <f t="shared" si="1150"/>
        <v>0</v>
      </c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>
        <f t="shared" si="1133"/>
        <v>0</v>
      </c>
      <c r="CE223" s="35">
        <f t="shared" si="1134"/>
        <v>0</v>
      </c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>
        <f t="shared" si="1164"/>
        <v>0</v>
      </c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>
        <f t="shared" si="1135"/>
        <v>0</v>
      </c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>
        <f t="shared" si="1165"/>
        <v>0</v>
      </c>
      <c r="DS223" s="35">
        <f t="shared" si="1136"/>
        <v>0</v>
      </c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>
        <f t="shared" si="1166"/>
        <v>0</v>
      </c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>
        <f t="shared" si="1137"/>
        <v>0</v>
      </c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>
        <f t="shared" si="1167"/>
        <v>0</v>
      </c>
      <c r="FG223" s="35">
        <f t="shared" si="1138"/>
        <v>0</v>
      </c>
      <c r="FH223" s="35">
        <f t="shared" si="1168"/>
        <v>0</v>
      </c>
    </row>
    <row r="224" spans="1:164" x14ac:dyDescent="0.35">
      <c r="A224" s="34"/>
      <c r="B224" s="40"/>
      <c r="C224" s="41" t="s">
        <v>209</v>
      </c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>
        <f t="shared" si="1146"/>
        <v>0</v>
      </c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>
        <f t="shared" si="1147"/>
        <v>0</v>
      </c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>
        <f t="shared" si="1148"/>
        <v>0</v>
      </c>
      <c r="AQ224" s="35">
        <f t="shared" si="1163"/>
        <v>0</v>
      </c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>
        <f t="shared" si="1149"/>
        <v>0</v>
      </c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>
        <f t="shared" si="1150"/>
        <v>0</v>
      </c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>
        <f t="shared" si="1133"/>
        <v>0</v>
      </c>
      <c r="CE224" s="35">
        <f t="shared" si="1134"/>
        <v>0</v>
      </c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>
        <f t="shared" si="1164"/>
        <v>0</v>
      </c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>
        <f t="shared" si="1135"/>
        <v>0</v>
      </c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>
        <f t="shared" si="1165"/>
        <v>0</v>
      </c>
      <c r="DS224" s="35">
        <f t="shared" si="1136"/>
        <v>0</v>
      </c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>
        <f t="shared" si="1166"/>
        <v>0</v>
      </c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>
        <f t="shared" si="1137"/>
        <v>0</v>
      </c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>
        <f t="shared" si="1167"/>
        <v>0</v>
      </c>
      <c r="FG224" s="35">
        <f t="shared" si="1138"/>
        <v>0</v>
      </c>
      <c r="FH224" s="35">
        <f t="shared" si="1168"/>
        <v>0</v>
      </c>
    </row>
    <row r="225" spans="1:164" x14ac:dyDescent="0.35">
      <c r="A225" s="34"/>
      <c r="B225" s="40"/>
      <c r="C225" s="41" t="s">
        <v>210</v>
      </c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>
        <f t="shared" si="1146"/>
        <v>0</v>
      </c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>
        <f t="shared" si="1147"/>
        <v>0</v>
      </c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>
        <f t="shared" si="1148"/>
        <v>0</v>
      </c>
      <c r="AQ225" s="35">
        <f t="shared" si="1163"/>
        <v>0</v>
      </c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>
        <f t="shared" si="1149"/>
        <v>0</v>
      </c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>
        <f t="shared" si="1150"/>
        <v>0</v>
      </c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>
        <f t="shared" si="1133"/>
        <v>0</v>
      </c>
      <c r="CE225" s="35">
        <f t="shared" si="1134"/>
        <v>0</v>
      </c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>
        <f t="shared" si="1164"/>
        <v>0</v>
      </c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>
        <f t="shared" si="1135"/>
        <v>0</v>
      </c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>
        <f t="shared" si="1165"/>
        <v>0</v>
      </c>
      <c r="DS225" s="35">
        <f t="shared" si="1136"/>
        <v>0</v>
      </c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>
        <f t="shared" si="1166"/>
        <v>0</v>
      </c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>
        <f t="shared" si="1137"/>
        <v>0</v>
      </c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>
        <f t="shared" si="1167"/>
        <v>0</v>
      </c>
      <c r="FG225" s="35">
        <f t="shared" si="1138"/>
        <v>0</v>
      </c>
      <c r="FH225" s="35">
        <f t="shared" si="1168"/>
        <v>0</v>
      </c>
    </row>
    <row r="226" spans="1:164" x14ac:dyDescent="0.35">
      <c r="A226" s="34"/>
      <c r="B226" s="40"/>
      <c r="C226" s="41" t="s">
        <v>211</v>
      </c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>
        <f t="shared" si="1146"/>
        <v>0</v>
      </c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>
        <f t="shared" si="1147"/>
        <v>0</v>
      </c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>
        <f t="shared" si="1148"/>
        <v>0</v>
      </c>
      <c r="AQ226" s="35">
        <f t="shared" si="1163"/>
        <v>0</v>
      </c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>
        <f t="shared" si="1149"/>
        <v>0</v>
      </c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>
        <f t="shared" si="1150"/>
        <v>0</v>
      </c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>
        <f t="shared" si="1133"/>
        <v>0</v>
      </c>
      <c r="CE226" s="35">
        <f t="shared" si="1134"/>
        <v>0</v>
      </c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>
        <f t="shared" si="1164"/>
        <v>0</v>
      </c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>
        <f t="shared" si="1135"/>
        <v>0</v>
      </c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>
        <f t="shared" si="1165"/>
        <v>0</v>
      </c>
      <c r="DS226" s="35">
        <f t="shared" si="1136"/>
        <v>0</v>
      </c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>
        <f t="shared" si="1166"/>
        <v>0</v>
      </c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>
        <f t="shared" si="1137"/>
        <v>0</v>
      </c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>
        <f t="shared" si="1167"/>
        <v>0</v>
      </c>
      <c r="FG226" s="35">
        <f t="shared" si="1138"/>
        <v>0</v>
      </c>
      <c r="FH226" s="35">
        <f t="shared" si="1168"/>
        <v>0</v>
      </c>
    </row>
    <row r="227" spans="1:164" x14ac:dyDescent="0.35">
      <c r="A227" s="34"/>
      <c r="B227" s="40"/>
      <c r="C227" s="41" t="s">
        <v>212</v>
      </c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>
        <f t="shared" si="1146"/>
        <v>0</v>
      </c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>
        <f t="shared" si="1147"/>
        <v>0</v>
      </c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>
        <f t="shared" si="1148"/>
        <v>0</v>
      </c>
      <c r="AQ227" s="35">
        <f t="shared" si="1163"/>
        <v>0</v>
      </c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>
        <f t="shared" si="1149"/>
        <v>0</v>
      </c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>
        <f t="shared" si="1150"/>
        <v>0</v>
      </c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>
        <f t="shared" si="1133"/>
        <v>0</v>
      </c>
      <c r="CE227" s="35">
        <f t="shared" si="1134"/>
        <v>0</v>
      </c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>
        <f t="shared" si="1164"/>
        <v>0</v>
      </c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>
        <f t="shared" si="1135"/>
        <v>0</v>
      </c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>
        <f t="shared" si="1165"/>
        <v>0</v>
      </c>
      <c r="DS227" s="35">
        <f t="shared" si="1136"/>
        <v>0</v>
      </c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>
        <f t="shared" si="1166"/>
        <v>0</v>
      </c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>
        <f t="shared" si="1137"/>
        <v>0</v>
      </c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>
        <f t="shared" si="1167"/>
        <v>0</v>
      </c>
      <c r="FG227" s="35">
        <f t="shared" si="1138"/>
        <v>0</v>
      </c>
      <c r="FH227" s="35">
        <f t="shared" si="1168"/>
        <v>0</v>
      </c>
    </row>
    <row r="228" spans="1:164" x14ac:dyDescent="0.35">
      <c r="A228" s="34"/>
      <c r="B228" s="40"/>
      <c r="C228" s="41" t="s">
        <v>213</v>
      </c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>
        <f t="shared" si="1146"/>
        <v>0</v>
      </c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>
        <f t="shared" si="1147"/>
        <v>0</v>
      </c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>
        <f t="shared" si="1148"/>
        <v>0</v>
      </c>
      <c r="AQ228" s="35">
        <f t="shared" si="1163"/>
        <v>0</v>
      </c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>
        <f t="shared" si="1149"/>
        <v>0</v>
      </c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>
        <f t="shared" si="1150"/>
        <v>0</v>
      </c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>
        <f t="shared" si="1133"/>
        <v>0</v>
      </c>
      <c r="CE228" s="35">
        <f t="shared" si="1134"/>
        <v>0</v>
      </c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>
        <f t="shared" si="1164"/>
        <v>0</v>
      </c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>
        <f t="shared" si="1135"/>
        <v>0</v>
      </c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>
        <f t="shared" si="1165"/>
        <v>0</v>
      </c>
      <c r="DS228" s="35">
        <f t="shared" si="1136"/>
        <v>0</v>
      </c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>
        <f t="shared" si="1166"/>
        <v>0</v>
      </c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>
        <f t="shared" si="1137"/>
        <v>0</v>
      </c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>
        <f t="shared" si="1167"/>
        <v>0</v>
      </c>
      <c r="FG228" s="35">
        <f t="shared" si="1138"/>
        <v>0</v>
      </c>
      <c r="FH228" s="35">
        <f t="shared" si="1168"/>
        <v>0</v>
      </c>
    </row>
    <row r="229" spans="1:164" x14ac:dyDescent="0.35">
      <c r="A229" s="34"/>
      <c r="B229" s="40"/>
      <c r="C229" s="41" t="s">
        <v>214</v>
      </c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>
        <f t="shared" si="1146"/>
        <v>0</v>
      </c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>
        <f t="shared" si="1147"/>
        <v>0</v>
      </c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>
        <f t="shared" si="1148"/>
        <v>0</v>
      </c>
      <c r="AQ229" s="35">
        <f t="shared" si="1163"/>
        <v>0</v>
      </c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>
        <f t="shared" si="1149"/>
        <v>0</v>
      </c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>
        <f t="shared" si="1150"/>
        <v>0</v>
      </c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>
        <f t="shared" si="1133"/>
        <v>0</v>
      </c>
      <c r="CE229" s="35">
        <f t="shared" si="1134"/>
        <v>0</v>
      </c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>
        <f t="shared" si="1164"/>
        <v>0</v>
      </c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>
        <f t="shared" si="1135"/>
        <v>0</v>
      </c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>
        <f t="shared" si="1165"/>
        <v>0</v>
      </c>
      <c r="DS229" s="35">
        <f t="shared" si="1136"/>
        <v>0</v>
      </c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>
        <f t="shared" si="1166"/>
        <v>0</v>
      </c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>
        <f t="shared" si="1137"/>
        <v>0</v>
      </c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>
        <f t="shared" si="1167"/>
        <v>0</v>
      </c>
      <c r="FG229" s="35">
        <f t="shared" si="1138"/>
        <v>0</v>
      </c>
      <c r="FH229" s="35">
        <f t="shared" si="1168"/>
        <v>0</v>
      </c>
    </row>
    <row r="230" spans="1:164" x14ac:dyDescent="0.35">
      <c r="A230" s="34"/>
      <c r="B230" s="40"/>
      <c r="C230" s="41" t="s">
        <v>215</v>
      </c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>
        <f t="shared" si="1146"/>
        <v>0</v>
      </c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>
        <f t="shared" si="1147"/>
        <v>0</v>
      </c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>
        <f t="shared" si="1148"/>
        <v>0</v>
      </c>
      <c r="AQ230" s="35">
        <f t="shared" si="1163"/>
        <v>0</v>
      </c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>
        <f t="shared" si="1149"/>
        <v>0</v>
      </c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>
        <f t="shared" si="1150"/>
        <v>0</v>
      </c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>
        <f t="shared" si="1133"/>
        <v>0</v>
      </c>
      <c r="CE230" s="35">
        <f t="shared" si="1134"/>
        <v>0</v>
      </c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>
        <f t="shared" si="1164"/>
        <v>0</v>
      </c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>
        <f t="shared" si="1135"/>
        <v>0</v>
      </c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>
        <f t="shared" si="1165"/>
        <v>0</v>
      </c>
      <c r="DS230" s="35">
        <f t="shared" si="1136"/>
        <v>0</v>
      </c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>
        <f t="shared" si="1166"/>
        <v>0</v>
      </c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>
        <f t="shared" si="1137"/>
        <v>0</v>
      </c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>
        <f t="shared" si="1167"/>
        <v>0</v>
      </c>
      <c r="FG230" s="35">
        <f t="shared" si="1138"/>
        <v>0</v>
      </c>
      <c r="FH230" s="35">
        <f t="shared" si="1168"/>
        <v>0</v>
      </c>
    </row>
    <row r="231" spans="1:164" x14ac:dyDescent="0.35">
      <c r="A231" s="34"/>
      <c r="B231" s="40"/>
      <c r="C231" s="41" t="s">
        <v>216</v>
      </c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>
        <f t="shared" si="1146"/>
        <v>0</v>
      </c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>
        <f t="shared" si="1147"/>
        <v>0</v>
      </c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>
        <f t="shared" si="1148"/>
        <v>0</v>
      </c>
      <c r="AQ231" s="35">
        <f t="shared" si="1163"/>
        <v>0</v>
      </c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>
        <f t="shared" si="1149"/>
        <v>0</v>
      </c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>
        <f t="shared" si="1150"/>
        <v>0</v>
      </c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>
        <f t="shared" si="1133"/>
        <v>0</v>
      </c>
      <c r="CE231" s="35">
        <f t="shared" si="1134"/>
        <v>0</v>
      </c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>
        <f t="shared" si="1164"/>
        <v>0</v>
      </c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>
        <f t="shared" si="1135"/>
        <v>0</v>
      </c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>
        <f t="shared" si="1165"/>
        <v>0</v>
      </c>
      <c r="DS231" s="35">
        <f t="shared" si="1136"/>
        <v>0</v>
      </c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>
        <f t="shared" si="1166"/>
        <v>0</v>
      </c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>
        <f t="shared" si="1137"/>
        <v>0</v>
      </c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>
        <f t="shared" si="1167"/>
        <v>0</v>
      </c>
      <c r="FG231" s="35">
        <f t="shared" si="1138"/>
        <v>0</v>
      </c>
      <c r="FH231" s="35">
        <f t="shared" si="1168"/>
        <v>0</v>
      </c>
    </row>
    <row r="232" spans="1:164" x14ac:dyDescent="0.35">
      <c r="A232" s="34"/>
      <c r="B232" s="40"/>
      <c r="C232" s="41" t="s">
        <v>217</v>
      </c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>
        <f t="shared" si="1146"/>
        <v>0</v>
      </c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>
        <f t="shared" si="1147"/>
        <v>0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>
        <f t="shared" si="1148"/>
        <v>0</v>
      </c>
      <c r="AQ232" s="35">
        <f t="shared" si="1163"/>
        <v>0</v>
      </c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>
        <f t="shared" si="1149"/>
        <v>0</v>
      </c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>
        <f t="shared" si="1150"/>
        <v>0</v>
      </c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>
        <f t="shared" si="1133"/>
        <v>0</v>
      </c>
      <c r="CE232" s="35">
        <f t="shared" si="1134"/>
        <v>0</v>
      </c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>
        <f t="shared" si="1164"/>
        <v>0</v>
      </c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>
        <f t="shared" si="1135"/>
        <v>0</v>
      </c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>
        <f t="shared" si="1165"/>
        <v>0</v>
      </c>
      <c r="DS232" s="35">
        <f t="shared" si="1136"/>
        <v>0</v>
      </c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>
        <f t="shared" si="1166"/>
        <v>0</v>
      </c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>
        <f t="shared" si="1137"/>
        <v>0</v>
      </c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>
        <f t="shared" si="1167"/>
        <v>0</v>
      </c>
      <c r="FG232" s="35">
        <f t="shared" si="1138"/>
        <v>0</v>
      </c>
      <c r="FH232" s="35">
        <f t="shared" si="1168"/>
        <v>0</v>
      </c>
    </row>
    <row r="233" spans="1:164" x14ac:dyDescent="0.35">
      <c r="A233" s="34"/>
      <c r="B233" s="40"/>
      <c r="C233" s="41" t="s">
        <v>218</v>
      </c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>
        <f t="shared" si="1146"/>
        <v>0</v>
      </c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>
        <f t="shared" si="1147"/>
        <v>0</v>
      </c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>
        <f t="shared" si="1148"/>
        <v>0</v>
      </c>
      <c r="AQ233" s="35">
        <f t="shared" si="1163"/>
        <v>0</v>
      </c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>
        <f t="shared" si="1149"/>
        <v>0</v>
      </c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>
        <f t="shared" si="1150"/>
        <v>0</v>
      </c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>
        <f t="shared" si="1133"/>
        <v>0</v>
      </c>
      <c r="CE233" s="35">
        <f t="shared" si="1134"/>
        <v>0</v>
      </c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>
        <f t="shared" si="1164"/>
        <v>0</v>
      </c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>
        <f t="shared" si="1135"/>
        <v>0</v>
      </c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>
        <f t="shared" si="1165"/>
        <v>0</v>
      </c>
      <c r="DS233" s="35">
        <f t="shared" si="1136"/>
        <v>0</v>
      </c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>
        <f t="shared" si="1166"/>
        <v>0</v>
      </c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>
        <f t="shared" si="1137"/>
        <v>0</v>
      </c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>
        <f t="shared" si="1167"/>
        <v>0</v>
      </c>
      <c r="FG233" s="35">
        <f t="shared" si="1138"/>
        <v>0</v>
      </c>
      <c r="FH233" s="35">
        <f t="shared" si="1168"/>
        <v>0</v>
      </c>
    </row>
    <row r="234" spans="1:164" x14ac:dyDescent="0.35">
      <c r="A234" s="34"/>
      <c r="B234" s="40"/>
      <c r="C234" s="41" t="s">
        <v>219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>
        <f t="shared" si="1146"/>
        <v>0</v>
      </c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>
        <f t="shared" si="1147"/>
        <v>0</v>
      </c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>
        <f t="shared" si="1148"/>
        <v>0</v>
      </c>
      <c r="AQ234" s="35">
        <f t="shared" si="1163"/>
        <v>0</v>
      </c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>
        <f t="shared" si="1149"/>
        <v>0</v>
      </c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>
        <f t="shared" si="1150"/>
        <v>0</v>
      </c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>
        <f t="shared" si="1133"/>
        <v>0</v>
      </c>
      <c r="CE234" s="35">
        <f t="shared" si="1134"/>
        <v>0</v>
      </c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>
        <f t="shared" si="1164"/>
        <v>0</v>
      </c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>
        <f t="shared" si="1135"/>
        <v>0</v>
      </c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>
        <f t="shared" si="1165"/>
        <v>0</v>
      </c>
      <c r="DS234" s="35">
        <f t="shared" si="1136"/>
        <v>0</v>
      </c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>
        <f t="shared" si="1166"/>
        <v>0</v>
      </c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>
        <f t="shared" si="1137"/>
        <v>0</v>
      </c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>
        <f t="shared" si="1167"/>
        <v>0</v>
      </c>
      <c r="FG234" s="35">
        <f t="shared" si="1138"/>
        <v>0</v>
      </c>
      <c r="FH234" s="35">
        <f t="shared" si="1168"/>
        <v>0</v>
      </c>
    </row>
    <row r="235" spans="1:164" x14ac:dyDescent="0.35">
      <c r="A235" s="34"/>
      <c r="B235" s="40"/>
      <c r="C235" s="41" t="s">
        <v>220</v>
      </c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>
        <f t="shared" si="1146"/>
        <v>0</v>
      </c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>
        <f t="shared" si="1147"/>
        <v>0</v>
      </c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>
        <f t="shared" si="1148"/>
        <v>0</v>
      </c>
      <c r="AQ235" s="35">
        <f t="shared" si="1163"/>
        <v>0</v>
      </c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>
        <f t="shared" si="1149"/>
        <v>0</v>
      </c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>
        <f t="shared" si="1150"/>
        <v>0</v>
      </c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>
        <f t="shared" si="1133"/>
        <v>0</v>
      </c>
      <c r="CE235" s="35">
        <f t="shared" si="1134"/>
        <v>0</v>
      </c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>
        <f t="shared" si="1164"/>
        <v>0</v>
      </c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>
        <f t="shared" si="1135"/>
        <v>0</v>
      </c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>
        <f t="shared" si="1165"/>
        <v>0</v>
      </c>
      <c r="DS235" s="35">
        <f t="shared" si="1136"/>
        <v>0</v>
      </c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>
        <f t="shared" si="1166"/>
        <v>0</v>
      </c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>
        <f t="shared" si="1137"/>
        <v>0</v>
      </c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>
        <f t="shared" si="1167"/>
        <v>0</v>
      </c>
      <c r="FG235" s="35">
        <f t="shared" si="1138"/>
        <v>0</v>
      </c>
      <c r="FH235" s="35">
        <f t="shared" si="1168"/>
        <v>0</v>
      </c>
    </row>
    <row r="236" spans="1:164" x14ac:dyDescent="0.35">
      <c r="A236" s="34"/>
      <c r="B236" s="40"/>
      <c r="C236" s="41" t="s">
        <v>221</v>
      </c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>
        <f t="shared" si="1146"/>
        <v>0</v>
      </c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>
        <f t="shared" si="1147"/>
        <v>0</v>
      </c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>
        <f t="shared" si="1148"/>
        <v>0</v>
      </c>
      <c r="AQ236" s="35">
        <f t="shared" si="1163"/>
        <v>0</v>
      </c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>
        <f t="shared" si="1149"/>
        <v>0</v>
      </c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>
        <f t="shared" si="1150"/>
        <v>0</v>
      </c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>
        <f t="shared" si="1133"/>
        <v>0</v>
      </c>
      <c r="CE236" s="35">
        <f t="shared" si="1134"/>
        <v>0</v>
      </c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>
        <f t="shared" si="1164"/>
        <v>0</v>
      </c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>
        <f t="shared" si="1135"/>
        <v>0</v>
      </c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>
        <f t="shared" si="1165"/>
        <v>0</v>
      </c>
      <c r="DS236" s="35">
        <f t="shared" si="1136"/>
        <v>0</v>
      </c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>
        <f t="shared" si="1166"/>
        <v>0</v>
      </c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>
        <f t="shared" si="1137"/>
        <v>0</v>
      </c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>
        <f t="shared" si="1167"/>
        <v>0</v>
      </c>
      <c r="FG236" s="35">
        <f t="shared" si="1138"/>
        <v>0</v>
      </c>
      <c r="FH236" s="35">
        <f t="shared" si="1168"/>
        <v>0</v>
      </c>
    </row>
    <row r="237" spans="1:164" x14ac:dyDescent="0.35">
      <c r="A237" s="34"/>
      <c r="B237" s="40"/>
      <c r="C237" s="41" t="s">
        <v>222</v>
      </c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>
        <f t="shared" si="1146"/>
        <v>0</v>
      </c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>
        <f t="shared" si="1147"/>
        <v>0</v>
      </c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>
        <f t="shared" ref="AP237:AP239" si="1169">SUM(AD237:AO237)</f>
        <v>0</v>
      </c>
      <c r="AQ237" s="35">
        <f t="shared" si="1163"/>
        <v>0</v>
      </c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>
        <f t="shared" ref="BD237:BD238" si="1170">SUM(AR237:BC237)</f>
        <v>0</v>
      </c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>
        <f t="shared" ref="BQ237:BQ238" si="1171">SUM(BE237:BP237)</f>
        <v>0</v>
      </c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>
        <f t="shared" ref="CD237:CD239" si="1172">SUM(BR237:CC237)</f>
        <v>0</v>
      </c>
      <c r="CE237" s="35">
        <f t="shared" si="1134"/>
        <v>0</v>
      </c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>
        <f t="shared" si="1164"/>
        <v>0</v>
      </c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>
        <f t="shared" si="1135"/>
        <v>0</v>
      </c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>
        <f t="shared" si="1165"/>
        <v>0</v>
      </c>
      <c r="DS237" s="35">
        <f t="shared" si="1136"/>
        <v>0</v>
      </c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>
        <f t="shared" si="1166"/>
        <v>0</v>
      </c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>
        <f t="shared" si="1137"/>
        <v>0</v>
      </c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>
        <f t="shared" si="1167"/>
        <v>0</v>
      </c>
      <c r="FG237" s="35">
        <f t="shared" si="1138"/>
        <v>0</v>
      </c>
      <c r="FH237" s="35">
        <f t="shared" si="1168"/>
        <v>0</v>
      </c>
    </row>
    <row r="238" spans="1:164" x14ac:dyDescent="0.35">
      <c r="A238" s="34"/>
      <c r="B238" s="40"/>
      <c r="C238" s="41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>
        <f t="shared" si="1146"/>
        <v>0</v>
      </c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>
        <f t="shared" si="1147"/>
        <v>0</v>
      </c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>
        <f t="shared" si="1169"/>
        <v>0</v>
      </c>
      <c r="AQ238" s="35">
        <f t="shared" si="1163"/>
        <v>0</v>
      </c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>
        <f t="shared" si="1170"/>
        <v>0</v>
      </c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>
        <f t="shared" si="1171"/>
        <v>0</v>
      </c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>
        <f t="shared" si="1172"/>
        <v>0</v>
      </c>
      <c r="CE238" s="35">
        <f t="shared" si="1134"/>
        <v>0</v>
      </c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>
        <f t="shared" si="1164"/>
        <v>0</v>
      </c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>
        <f t="shared" si="1135"/>
        <v>0</v>
      </c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>
        <f t="shared" si="1165"/>
        <v>0</v>
      </c>
      <c r="DS238" s="35">
        <f t="shared" si="1136"/>
        <v>0</v>
      </c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>
        <f t="shared" si="1166"/>
        <v>0</v>
      </c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>
        <f t="shared" si="1137"/>
        <v>0</v>
      </c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>
        <f t="shared" si="1167"/>
        <v>0</v>
      </c>
      <c r="FG238" s="35">
        <f t="shared" si="1138"/>
        <v>0</v>
      </c>
      <c r="FH238" s="35">
        <f t="shared" si="1168"/>
        <v>0</v>
      </c>
    </row>
    <row r="239" spans="1:164" x14ac:dyDescent="0.35">
      <c r="A239" s="48"/>
      <c r="B239" s="49" t="s">
        <v>27</v>
      </c>
      <c r="C239" s="50"/>
      <c r="D239" s="51">
        <f>SUM(D221:D238)</f>
        <v>5600</v>
      </c>
      <c r="E239" s="51">
        <f t="shared" ref="E239:K239" si="1173">SUM(E221:E238)</f>
        <v>0</v>
      </c>
      <c r="F239" s="51">
        <f t="shared" si="1173"/>
        <v>0</v>
      </c>
      <c r="G239" s="51">
        <f t="shared" si="1173"/>
        <v>0</v>
      </c>
      <c r="H239" s="51">
        <f t="shared" si="1173"/>
        <v>0</v>
      </c>
      <c r="I239" s="51">
        <f t="shared" si="1173"/>
        <v>0</v>
      </c>
      <c r="J239" s="51">
        <f t="shared" si="1173"/>
        <v>0</v>
      </c>
      <c r="K239" s="51">
        <f t="shared" si="1173"/>
        <v>0</v>
      </c>
      <c r="L239" s="51">
        <f>SUM(L221:L238)</f>
        <v>0</v>
      </c>
      <c r="M239" s="51">
        <f t="shared" ref="M239:O239" si="1174">SUM(M221:M238)</f>
        <v>0</v>
      </c>
      <c r="N239" s="51">
        <f t="shared" si="1174"/>
        <v>0</v>
      </c>
      <c r="O239" s="51">
        <f t="shared" si="1174"/>
        <v>0</v>
      </c>
      <c r="P239" s="51">
        <f t="shared" si="1146"/>
        <v>5600</v>
      </c>
      <c r="Q239" s="51">
        <f>SUM(Q221:Q238)</f>
        <v>5600</v>
      </c>
      <c r="R239" s="51">
        <f t="shared" ref="R239:AB239" si="1175">SUM(R221:R238)</f>
        <v>0</v>
      </c>
      <c r="S239" s="51">
        <f t="shared" si="1175"/>
        <v>0</v>
      </c>
      <c r="T239" s="51">
        <f t="shared" si="1175"/>
        <v>0</v>
      </c>
      <c r="U239" s="51">
        <f t="shared" si="1175"/>
        <v>0</v>
      </c>
      <c r="V239" s="51">
        <f t="shared" si="1175"/>
        <v>0</v>
      </c>
      <c r="W239" s="51">
        <f t="shared" si="1175"/>
        <v>0</v>
      </c>
      <c r="X239" s="51">
        <f t="shared" si="1175"/>
        <v>0</v>
      </c>
      <c r="Y239" s="51">
        <f t="shared" si="1175"/>
        <v>0</v>
      </c>
      <c r="Z239" s="51">
        <f t="shared" si="1175"/>
        <v>0</v>
      </c>
      <c r="AA239" s="51">
        <f t="shared" si="1175"/>
        <v>0</v>
      </c>
      <c r="AB239" s="51">
        <f t="shared" si="1175"/>
        <v>0</v>
      </c>
      <c r="AC239" s="51">
        <f t="shared" si="1147"/>
        <v>5600</v>
      </c>
      <c r="AD239" s="51">
        <f>SUM(AD221:AD238)</f>
        <v>5600</v>
      </c>
      <c r="AE239" s="51">
        <f t="shared" ref="AE239:AO239" si="1176">SUM(AE221:AE238)</f>
        <v>0</v>
      </c>
      <c r="AF239" s="51">
        <f t="shared" si="1176"/>
        <v>0</v>
      </c>
      <c r="AG239" s="51">
        <f t="shared" si="1176"/>
        <v>0</v>
      </c>
      <c r="AH239" s="51">
        <f t="shared" si="1176"/>
        <v>0</v>
      </c>
      <c r="AI239" s="51">
        <f t="shared" si="1176"/>
        <v>0</v>
      </c>
      <c r="AJ239" s="51">
        <f t="shared" si="1176"/>
        <v>0</v>
      </c>
      <c r="AK239" s="51">
        <f t="shared" si="1176"/>
        <v>0</v>
      </c>
      <c r="AL239" s="51">
        <f t="shared" si="1176"/>
        <v>0</v>
      </c>
      <c r="AM239" s="51">
        <f t="shared" si="1176"/>
        <v>0</v>
      </c>
      <c r="AN239" s="51">
        <f t="shared" si="1176"/>
        <v>0</v>
      </c>
      <c r="AO239" s="51">
        <f t="shared" si="1176"/>
        <v>0</v>
      </c>
      <c r="AP239" s="51">
        <f t="shared" si="1169"/>
        <v>5600</v>
      </c>
      <c r="AQ239" s="51">
        <f t="shared" si="1163"/>
        <v>16800</v>
      </c>
      <c r="AR239" s="51">
        <f>SUM(AR221:AR238)</f>
        <v>5600</v>
      </c>
      <c r="AS239" s="51">
        <f t="shared" ref="AS239:BC239" si="1177">SUM(AS221:AS238)</f>
        <v>0</v>
      </c>
      <c r="AT239" s="51">
        <f t="shared" si="1177"/>
        <v>0</v>
      </c>
      <c r="AU239" s="51">
        <f t="shared" si="1177"/>
        <v>0</v>
      </c>
      <c r="AV239" s="51">
        <f t="shared" si="1177"/>
        <v>0</v>
      </c>
      <c r="AW239" s="51">
        <f t="shared" si="1177"/>
        <v>0</v>
      </c>
      <c r="AX239" s="51">
        <f t="shared" si="1177"/>
        <v>0</v>
      </c>
      <c r="AY239" s="51">
        <f t="shared" si="1177"/>
        <v>0</v>
      </c>
      <c r="AZ239" s="51">
        <f t="shared" si="1177"/>
        <v>0</v>
      </c>
      <c r="BA239" s="51">
        <f t="shared" si="1177"/>
        <v>0</v>
      </c>
      <c r="BB239" s="51">
        <f t="shared" si="1177"/>
        <v>0</v>
      </c>
      <c r="BC239" s="51">
        <f t="shared" si="1177"/>
        <v>0</v>
      </c>
      <c r="BD239" s="51">
        <f>SUM(AR239:BC239)</f>
        <v>5600</v>
      </c>
      <c r="BE239" s="51">
        <f>SUM(BE221:BE238)</f>
        <v>5600</v>
      </c>
      <c r="BF239" s="51">
        <f t="shared" ref="BF239:BP239" si="1178">SUM(BF221:BF238)</f>
        <v>0</v>
      </c>
      <c r="BG239" s="51">
        <f t="shared" si="1178"/>
        <v>0</v>
      </c>
      <c r="BH239" s="51">
        <f t="shared" si="1178"/>
        <v>0</v>
      </c>
      <c r="BI239" s="51">
        <f t="shared" si="1178"/>
        <v>0</v>
      </c>
      <c r="BJ239" s="51">
        <f t="shared" si="1178"/>
        <v>0</v>
      </c>
      <c r="BK239" s="51">
        <f t="shared" si="1178"/>
        <v>0</v>
      </c>
      <c r="BL239" s="51">
        <f t="shared" si="1178"/>
        <v>0</v>
      </c>
      <c r="BM239" s="51">
        <f t="shared" si="1178"/>
        <v>0</v>
      </c>
      <c r="BN239" s="51">
        <f t="shared" si="1178"/>
        <v>0</v>
      </c>
      <c r="BO239" s="51">
        <f t="shared" si="1178"/>
        <v>0</v>
      </c>
      <c r="BP239" s="51">
        <f t="shared" si="1178"/>
        <v>0</v>
      </c>
      <c r="BQ239" s="51">
        <f>SUM(BE239:BP239)</f>
        <v>5600</v>
      </c>
      <c r="BR239" s="51">
        <f>SUM(BR221:BR238)</f>
        <v>5600</v>
      </c>
      <c r="BS239" s="51">
        <f t="shared" ref="BS239:CC239" si="1179">SUM(BS221:BS238)</f>
        <v>0</v>
      </c>
      <c r="BT239" s="51">
        <f t="shared" si="1179"/>
        <v>0</v>
      </c>
      <c r="BU239" s="51">
        <f t="shared" si="1179"/>
        <v>0</v>
      </c>
      <c r="BV239" s="51">
        <f t="shared" si="1179"/>
        <v>0</v>
      </c>
      <c r="BW239" s="51">
        <f t="shared" si="1179"/>
        <v>0</v>
      </c>
      <c r="BX239" s="51">
        <f t="shared" si="1179"/>
        <v>0</v>
      </c>
      <c r="BY239" s="51">
        <f t="shared" si="1179"/>
        <v>0</v>
      </c>
      <c r="BZ239" s="51">
        <f t="shared" si="1179"/>
        <v>0</v>
      </c>
      <c r="CA239" s="51">
        <f t="shared" si="1179"/>
        <v>0</v>
      </c>
      <c r="CB239" s="51">
        <f t="shared" si="1179"/>
        <v>0</v>
      </c>
      <c r="CC239" s="51">
        <f t="shared" si="1179"/>
        <v>0</v>
      </c>
      <c r="CD239" s="51">
        <f t="shared" si="1172"/>
        <v>5600</v>
      </c>
      <c r="CE239" s="51">
        <f>+BD239+BQ239+CD239</f>
        <v>16800</v>
      </c>
      <c r="CF239" s="51">
        <f>SUM(CF221:CF238)</f>
        <v>5600</v>
      </c>
      <c r="CG239" s="51">
        <f t="shared" ref="CG239:CQ239" si="1180">SUM(CG221:CG238)</f>
        <v>0</v>
      </c>
      <c r="CH239" s="51">
        <f t="shared" si="1180"/>
        <v>0</v>
      </c>
      <c r="CI239" s="51">
        <f t="shared" si="1180"/>
        <v>0</v>
      </c>
      <c r="CJ239" s="51">
        <f t="shared" si="1180"/>
        <v>0</v>
      </c>
      <c r="CK239" s="51">
        <f t="shared" si="1180"/>
        <v>0</v>
      </c>
      <c r="CL239" s="51">
        <f t="shared" si="1180"/>
        <v>0</v>
      </c>
      <c r="CM239" s="51">
        <f t="shared" si="1180"/>
        <v>0</v>
      </c>
      <c r="CN239" s="51">
        <f t="shared" si="1180"/>
        <v>0</v>
      </c>
      <c r="CO239" s="51">
        <f t="shared" si="1180"/>
        <v>0</v>
      </c>
      <c r="CP239" s="51">
        <f t="shared" si="1180"/>
        <v>0</v>
      </c>
      <c r="CQ239" s="51">
        <f t="shared" si="1180"/>
        <v>0</v>
      </c>
      <c r="CR239" s="51">
        <f>SUM(CF239:CQ239)</f>
        <v>5600</v>
      </c>
      <c r="CS239" s="51">
        <f>SUM(CS221:CS238)</f>
        <v>5600</v>
      </c>
      <c r="CT239" s="51">
        <f t="shared" ref="CT239:DD239" si="1181">SUM(CT221:CT238)</f>
        <v>0</v>
      </c>
      <c r="CU239" s="51">
        <f t="shared" si="1181"/>
        <v>0</v>
      </c>
      <c r="CV239" s="51">
        <f t="shared" si="1181"/>
        <v>0</v>
      </c>
      <c r="CW239" s="51">
        <f t="shared" si="1181"/>
        <v>0</v>
      </c>
      <c r="CX239" s="51">
        <f t="shared" si="1181"/>
        <v>0</v>
      </c>
      <c r="CY239" s="51">
        <f t="shared" si="1181"/>
        <v>0</v>
      </c>
      <c r="CZ239" s="51">
        <f t="shared" si="1181"/>
        <v>0</v>
      </c>
      <c r="DA239" s="51">
        <f t="shared" si="1181"/>
        <v>0</v>
      </c>
      <c r="DB239" s="51">
        <f t="shared" si="1181"/>
        <v>0</v>
      </c>
      <c r="DC239" s="51">
        <f t="shared" si="1181"/>
        <v>0</v>
      </c>
      <c r="DD239" s="51">
        <f t="shared" si="1181"/>
        <v>0</v>
      </c>
      <c r="DE239" s="51">
        <f>SUM(CS239:DD239)</f>
        <v>5600</v>
      </c>
      <c r="DF239" s="51">
        <f>SUM(DF221:DF238)</f>
        <v>5600</v>
      </c>
      <c r="DG239" s="51">
        <f t="shared" ref="DG239:DQ239" si="1182">SUM(DG221:DG238)</f>
        <v>0</v>
      </c>
      <c r="DH239" s="51">
        <f t="shared" si="1182"/>
        <v>0</v>
      </c>
      <c r="DI239" s="51">
        <f t="shared" si="1182"/>
        <v>0</v>
      </c>
      <c r="DJ239" s="51">
        <f t="shared" si="1182"/>
        <v>0</v>
      </c>
      <c r="DK239" s="51">
        <f t="shared" si="1182"/>
        <v>0</v>
      </c>
      <c r="DL239" s="51">
        <f t="shared" si="1182"/>
        <v>0</v>
      </c>
      <c r="DM239" s="51">
        <f t="shared" si="1182"/>
        <v>0</v>
      </c>
      <c r="DN239" s="51">
        <f t="shared" si="1182"/>
        <v>0</v>
      </c>
      <c r="DO239" s="51">
        <f t="shared" si="1182"/>
        <v>0</v>
      </c>
      <c r="DP239" s="51">
        <f t="shared" si="1182"/>
        <v>0</v>
      </c>
      <c r="DQ239" s="51">
        <f t="shared" si="1182"/>
        <v>0</v>
      </c>
      <c r="DR239" s="51">
        <f t="shared" si="1165"/>
        <v>5600</v>
      </c>
      <c r="DS239" s="51">
        <f>+CR239+DE239+DR239</f>
        <v>16800</v>
      </c>
      <c r="DT239" s="51">
        <f>SUM(DT221:DT238)</f>
        <v>5600</v>
      </c>
      <c r="DU239" s="51">
        <f t="shared" ref="DU239:EE239" si="1183">SUM(DU221:DU238)</f>
        <v>0</v>
      </c>
      <c r="DV239" s="51">
        <f t="shared" si="1183"/>
        <v>0</v>
      </c>
      <c r="DW239" s="51">
        <f t="shared" si="1183"/>
        <v>0</v>
      </c>
      <c r="DX239" s="51">
        <f t="shared" si="1183"/>
        <v>0</v>
      </c>
      <c r="DY239" s="51">
        <f t="shared" si="1183"/>
        <v>0</v>
      </c>
      <c r="DZ239" s="51">
        <f t="shared" si="1183"/>
        <v>0</v>
      </c>
      <c r="EA239" s="51">
        <f t="shared" si="1183"/>
        <v>0</v>
      </c>
      <c r="EB239" s="51">
        <f t="shared" si="1183"/>
        <v>0</v>
      </c>
      <c r="EC239" s="51">
        <f t="shared" si="1183"/>
        <v>0</v>
      </c>
      <c r="ED239" s="51">
        <f t="shared" si="1183"/>
        <v>0</v>
      </c>
      <c r="EE239" s="51">
        <f t="shared" si="1183"/>
        <v>0</v>
      </c>
      <c r="EF239" s="51">
        <f>SUM(DT239:EE239)</f>
        <v>5600</v>
      </c>
      <c r="EG239" s="51">
        <f>SUM(EG221:EG238)</f>
        <v>5600</v>
      </c>
      <c r="EH239" s="51">
        <f t="shared" ref="EH239:ER239" si="1184">SUM(EH221:EH238)</f>
        <v>0</v>
      </c>
      <c r="EI239" s="51">
        <f t="shared" si="1184"/>
        <v>0</v>
      </c>
      <c r="EJ239" s="51">
        <f t="shared" si="1184"/>
        <v>0</v>
      </c>
      <c r="EK239" s="51">
        <f t="shared" si="1184"/>
        <v>0</v>
      </c>
      <c r="EL239" s="51">
        <f t="shared" si="1184"/>
        <v>0</v>
      </c>
      <c r="EM239" s="51">
        <f t="shared" si="1184"/>
        <v>0</v>
      </c>
      <c r="EN239" s="51">
        <f t="shared" si="1184"/>
        <v>0</v>
      </c>
      <c r="EO239" s="51">
        <f t="shared" si="1184"/>
        <v>0</v>
      </c>
      <c r="EP239" s="51">
        <f t="shared" si="1184"/>
        <v>0</v>
      </c>
      <c r="EQ239" s="51">
        <f t="shared" si="1184"/>
        <v>0</v>
      </c>
      <c r="ER239" s="51">
        <f t="shared" si="1184"/>
        <v>0</v>
      </c>
      <c r="ES239" s="51">
        <f>SUM(EG239:ER239)</f>
        <v>5600</v>
      </c>
      <c r="ET239" s="51">
        <f>SUM(ET221:ET238)</f>
        <v>5600</v>
      </c>
      <c r="EU239" s="51">
        <f t="shared" ref="EU239:FE239" si="1185">SUM(EU221:EU238)</f>
        <v>0</v>
      </c>
      <c r="EV239" s="51">
        <f t="shared" si="1185"/>
        <v>0</v>
      </c>
      <c r="EW239" s="51">
        <f t="shared" si="1185"/>
        <v>0</v>
      </c>
      <c r="EX239" s="51">
        <f t="shared" si="1185"/>
        <v>0</v>
      </c>
      <c r="EY239" s="51">
        <f t="shared" si="1185"/>
        <v>0</v>
      </c>
      <c r="EZ239" s="51">
        <f t="shared" si="1185"/>
        <v>0</v>
      </c>
      <c r="FA239" s="51">
        <f t="shared" si="1185"/>
        <v>0</v>
      </c>
      <c r="FB239" s="51">
        <f t="shared" si="1185"/>
        <v>0</v>
      </c>
      <c r="FC239" s="51">
        <f t="shared" si="1185"/>
        <v>0</v>
      </c>
      <c r="FD239" s="51">
        <f t="shared" si="1185"/>
        <v>0</v>
      </c>
      <c r="FE239" s="51">
        <f t="shared" si="1185"/>
        <v>0</v>
      </c>
      <c r="FF239" s="51">
        <f t="shared" si="1167"/>
        <v>5600</v>
      </c>
      <c r="FG239" s="51">
        <f>+EF239+ES239+FF239</f>
        <v>16800</v>
      </c>
      <c r="FH239" s="35">
        <f t="shared" si="1168"/>
        <v>67200</v>
      </c>
    </row>
    <row r="240" spans="1:164" ht="21.75" thickBot="1" x14ac:dyDescent="0.4">
      <c r="A240" s="42"/>
      <c r="B240" s="43"/>
      <c r="C240" s="44"/>
      <c r="D240" s="45">
        <f>+D197+D219+D239</f>
        <v>28000</v>
      </c>
      <c r="E240" s="45">
        <f t="shared" ref="E240:BP240" si="1186">+E197+E219+E239</f>
        <v>0</v>
      </c>
      <c r="F240" s="45">
        <f t="shared" si="1186"/>
        <v>0</v>
      </c>
      <c r="G240" s="45">
        <f t="shared" si="1186"/>
        <v>0</v>
      </c>
      <c r="H240" s="45">
        <f t="shared" si="1186"/>
        <v>0</v>
      </c>
      <c r="I240" s="45">
        <f t="shared" si="1186"/>
        <v>0</v>
      </c>
      <c r="J240" s="45">
        <f t="shared" si="1186"/>
        <v>22400</v>
      </c>
      <c r="K240" s="45">
        <f t="shared" si="1186"/>
        <v>0</v>
      </c>
      <c r="L240" s="45">
        <f t="shared" si="1186"/>
        <v>0</v>
      </c>
      <c r="M240" s="45">
        <f t="shared" si="1186"/>
        <v>0</v>
      </c>
      <c r="N240" s="45">
        <f t="shared" si="1186"/>
        <v>0</v>
      </c>
      <c r="O240" s="45">
        <f t="shared" si="1186"/>
        <v>0</v>
      </c>
      <c r="P240" s="45">
        <f t="shared" si="1186"/>
        <v>50400</v>
      </c>
      <c r="Q240" s="45">
        <f t="shared" si="1186"/>
        <v>28000</v>
      </c>
      <c r="R240" s="45">
        <f t="shared" si="1186"/>
        <v>0</v>
      </c>
      <c r="S240" s="45">
        <f t="shared" si="1186"/>
        <v>0</v>
      </c>
      <c r="T240" s="45">
        <f t="shared" si="1186"/>
        <v>0</v>
      </c>
      <c r="U240" s="45">
        <f t="shared" si="1186"/>
        <v>0</v>
      </c>
      <c r="V240" s="45">
        <f t="shared" si="1186"/>
        <v>0</v>
      </c>
      <c r="W240" s="45">
        <f t="shared" si="1186"/>
        <v>22400</v>
      </c>
      <c r="X240" s="45">
        <f t="shared" si="1186"/>
        <v>0</v>
      </c>
      <c r="Y240" s="45">
        <f t="shared" si="1186"/>
        <v>0</v>
      </c>
      <c r="Z240" s="45">
        <f t="shared" si="1186"/>
        <v>0</v>
      </c>
      <c r="AA240" s="45">
        <f t="shared" si="1186"/>
        <v>0</v>
      </c>
      <c r="AB240" s="45">
        <f t="shared" si="1186"/>
        <v>0</v>
      </c>
      <c r="AC240" s="45">
        <f t="shared" si="1186"/>
        <v>50400</v>
      </c>
      <c r="AD240" s="45">
        <f t="shared" si="1186"/>
        <v>28000</v>
      </c>
      <c r="AE240" s="45">
        <f t="shared" si="1186"/>
        <v>0</v>
      </c>
      <c r="AF240" s="45">
        <f t="shared" si="1186"/>
        <v>0</v>
      </c>
      <c r="AG240" s="45">
        <f t="shared" si="1186"/>
        <v>0</v>
      </c>
      <c r="AH240" s="45">
        <f t="shared" si="1186"/>
        <v>0</v>
      </c>
      <c r="AI240" s="45">
        <f t="shared" si="1186"/>
        <v>0</v>
      </c>
      <c r="AJ240" s="45">
        <f t="shared" si="1186"/>
        <v>22400</v>
      </c>
      <c r="AK240" s="45">
        <f t="shared" si="1186"/>
        <v>0</v>
      </c>
      <c r="AL240" s="45">
        <f t="shared" si="1186"/>
        <v>0</v>
      </c>
      <c r="AM240" s="45">
        <f t="shared" si="1186"/>
        <v>0</v>
      </c>
      <c r="AN240" s="45">
        <f t="shared" si="1186"/>
        <v>0</v>
      </c>
      <c r="AO240" s="45">
        <f t="shared" si="1186"/>
        <v>0</v>
      </c>
      <c r="AP240" s="45">
        <f t="shared" si="1186"/>
        <v>50400</v>
      </c>
      <c r="AQ240" s="45">
        <f t="shared" si="1186"/>
        <v>151200</v>
      </c>
      <c r="AR240" s="45">
        <f t="shared" si="1186"/>
        <v>28000</v>
      </c>
      <c r="AS240" s="45">
        <f t="shared" si="1186"/>
        <v>0</v>
      </c>
      <c r="AT240" s="45">
        <f t="shared" si="1186"/>
        <v>0</v>
      </c>
      <c r="AU240" s="45">
        <f t="shared" si="1186"/>
        <v>0</v>
      </c>
      <c r="AV240" s="45">
        <f t="shared" si="1186"/>
        <v>0</v>
      </c>
      <c r="AW240" s="45">
        <f t="shared" si="1186"/>
        <v>0</v>
      </c>
      <c r="AX240" s="45">
        <f t="shared" si="1186"/>
        <v>28000</v>
      </c>
      <c r="AY240" s="45">
        <f t="shared" si="1186"/>
        <v>0</v>
      </c>
      <c r="AZ240" s="45">
        <f t="shared" si="1186"/>
        <v>0</v>
      </c>
      <c r="BA240" s="45">
        <f t="shared" si="1186"/>
        <v>0</v>
      </c>
      <c r="BB240" s="45">
        <f t="shared" si="1186"/>
        <v>0</v>
      </c>
      <c r="BC240" s="45">
        <f t="shared" si="1186"/>
        <v>0</v>
      </c>
      <c r="BD240" s="45">
        <f t="shared" si="1186"/>
        <v>56000</v>
      </c>
      <c r="BE240" s="45">
        <f t="shared" si="1186"/>
        <v>28000</v>
      </c>
      <c r="BF240" s="45">
        <f t="shared" si="1186"/>
        <v>0</v>
      </c>
      <c r="BG240" s="45">
        <f t="shared" si="1186"/>
        <v>0</v>
      </c>
      <c r="BH240" s="45">
        <f t="shared" si="1186"/>
        <v>0</v>
      </c>
      <c r="BI240" s="45">
        <f t="shared" si="1186"/>
        <v>0</v>
      </c>
      <c r="BJ240" s="45">
        <f t="shared" si="1186"/>
        <v>0</v>
      </c>
      <c r="BK240" s="45">
        <f t="shared" si="1186"/>
        <v>44800</v>
      </c>
      <c r="BL240" s="45">
        <f t="shared" si="1186"/>
        <v>0</v>
      </c>
      <c r="BM240" s="45">
        <f t="shared" si="1186"/>
        <v>0</v>
      </c>
      <c r="BN240" s="45">
        <f t="shared" si="1186"/>
        <v>0</v>
      </c>
      <c r="BO240" s="45">
        <f t="shared" si="1186"/>
        <v>0</v>
      </c>
      <c r="BP240" s="45">
        <f t="shared" si="1186"/>
        <v>0</v>
      </c>
      <c r="BQ240" s="45">
        <f t="shared" ref="BQ240:EB240" si="1187">+BQ197+BQ219+BQ239</f>
        <v>72800</v>
      </c>
      <c r="BR240" s="45">
        <f t="shared" si="1187"/>
        <v>28000</v>
      </c>
      <c r="BS240" s="45">
        <f t="shared" si="1187"/>
        <v>0</v>
      </c>
      <c r="BT240" s="45">
        <f t="shared" si="1187"/>
        <v>0</v>
      </c>
      <c r="BU240" s="45">
        <f t="shared" si="1187"/>
        <v>0</v>
      </c>
      <c r="BV240" s="45">
        <f t="shared" si="1187"/>
        <v>0</v>
      </c>
      <c r="BW240" s="45">
        <f t="shared" si="1187"/>
        <v>0</v>
      </c>
      <c r="BX240" s="45">
        <f t="shared" si="1187"/>
        <v>28000</v>
      </c>
      <c r="BY240" s="45">
        <f t="shared" si="1187"/>
        <v>0</v>
      </c>
      <c r="BZ240" s="45">
        <f t="shared" si="1187"/>
        <v>0</v>
      </c>
      <c r="CA240" s="45">
        <f t="shared" si="1187"/>
        <v>0</v>
      </c>
      <c r="CB240" s="45">
        <f t="shared" si="1187"/>
        <v>0</v>
      </c>
      <c r="CC240" s="45">
        <f t="shared" si="1187"/>
        <v>0</v>
      </c>
      <c r="CD240" s="45">
        <f t="shared" si="1187"/>
        <v>56000</v>
      </c>
      <c r="CE240" s="45">
        <f t="shared" si="1187"/>
        <v>184800</v>
      </c>
      <c r="CF240" s="45">
        <f t="shared" si="1187"/>
        <v>28000</v>
      </c>
      <c r="CG240" s="45">
        <f t="shared" si="1187"/>
        <v>0</v>
      </c>
      <c r="CH240" s="45">
        <f t="shared" si="1187"/>
        <v>0</v>
      </c>
      <c r="CI240" s="45">
        <f t="shared" si="1187"/>
        <v>0</v>
      </c>
      <c r="CJ240" s="45">
        <f t="shared" si="1187"/>
        <v>0</v>
      </c>
      <c r="CK240" s="45">
        <f t="shared" si="1187"/>
        <v>0</v>
      </c>
      <c r="CL240" s="45">
        <f t="shared" si="1187"/>
        <v>28000</v>
      </c>
      <c r="CM240" s="45">
        <f t="shared" si="1187"/>
        <v>0</v>
      </c>
      <c r="CN240" s="45">
        <f t="shared" si="1187"/>
        <v>0</v>
      </c>
      <c r="CO240" s="45">
        <f t="shared" si="1187"/>
        <v>0</v>
      </c>
      <c r="CP240" s="45">
        <f t="shared" si="1187"/>
        <v>0</v>
      </c>
      <c r="CQ240" s="45">
        <f t="shared" si="1187"/>
        <v>0</v>
      </c>
      <c r="CR240" s="45">
        <f t="shared" si="1187"/>
        <v>56000</v>
      </c>
      <c r="CS240" s="45">
        <f t="shared" si="1187"/>
        <v>28000</v>
      </c>
      <c r="CT240" s="45">
        <f t="shared" si="1187"/>
        <v>0</v>
      </c>
      <c r="CU240" s="45">
        <f t="shared" si="1187"/>
        <v>0</v>
      </c>
      <c r="CV240" s="45">
        <f t="shared" si="1187"/>
        <v>0</v>
      </c>
      <c r="CW240" s="45">
        <f t="shared" si="1187"/>
        <v>0</v>
      </c>
      <c r="CX240" s="45">
        <f t="shared" si="1187"/>
        <v>0</v>
      </c>
      <c r="CY240" s="45">
        <f t="shared" si="1187"/>
        <v>28000</v>
      </c>
      <c r="CZ240" s="45">
        <f t="shared" si="1187"/>
        <v>0</v>
      </c>
      <c r="DA240" s="45">
        <f t="shared" si="1187"/>
        <v>0</v>
      </c>
      <c r="DB240" s="45">
        <f t="shared" si="1187"/>
        <v>0</v>
      </c>
      <c r="DC240" s="45">
        <f t="shared" si="1187"/>
        <v>0</v>
      </c>
      <c r="DD240" s="45">
        <f t="shared" si="1187"/>
        <v>0</v>
      </c>
      <c r="DE240" s="45">
        <f t="shared" si="1187"/>
        <v>56000</v>
      </c>
      <c r="DF240" s="45">
        <f t="shared" si="1187"/>
        <v>28000</v>
      </c>
      <c r="DG240" s="45">
        <f t="shared" si="1187"/>
        <v>0</v>
      </c>
      <c r="DH240" s="45">
        <f t="shared" si="1187"/>
        <v>0</v>
      </c>
      <c r="DI240" s="45">
        <f t="shared" si="1187"/>
        <v>0</v>
      </c>
      <c r="DJ240" s="45">
        <f t="shared" si="1187"/>
        <v>0</v>
      </c>
      <c r="DK240" s="45">
        <f t="shared" si="1187"/>
        <v>0</v>
      </c>
      <c r="DL240" s="45">
        <f t="shared" si="1187"/>
        <v>28000</v>
      </c>
      <c r="DM240" s="45">
        <f t="shared" si="1187"/>
        <v>0</v>
      </c>
      <c r="DN240" s="45">
        <f t="shared" si="1187"/>
        <v>0</v>
      </c>
      <c r="DO240" s="45">
        <f t="shared" si="1187"/>
        <v>0</v>
      </c>
      <c r="DP240" s="45">
        <f t="shared" si="1187"/>
        <v>0</v>
      </c>
      <c r="DQ240" s="45">
        <f t="shared" si="1187"/>
        <v>0</v>
      </c>
      <c r="DR240" s="45">
        <f t="shared" si="1187"/>
        <v>56000</v>
      </c>
      <c r="DS240" s="45">
        <f t="shared" si="1187"/>
        <v>168000</v>
      </c>
      <c r="DT240" s="45">
        <f t="shared" si="1187"/>
        <v>28000</v>
      </c>
      <c r="DU240" s="45">
        <f t="shared" si="1187"/>
        <v>0</v>
      </c>
      <c r="DV240" s="45">
        <f t="shared" si="1187"/>
        <v>0</v>
      </c>
      <c r="DW240" s="45">
        <f t="shared" si="1187"/>
        <v>0</v>
      </c>
      <c r="DX240" s="45">
        <f t="shared" si="1187"/>
        <v>0</v>
      </c>
      <c r="DY240" s="45">
        <f t="shared" si="1187"/>
        <v>0</v>
      </c>
      <c r="DZ240" s="45">
        <f t="shared" si="1187"/>
        <v>28000</v>
      </c>
      <c r="EA240" s="45">
        <f t="shared" si="1187"/>
        <v>0</v>
      </c>
      <c r="EB240" s="45">
        <f t="shared" si="1187"/>
        <v>0</v>
      </c>
      <c r="EC240" s="45">
        <f t="shared" ref="EC240:FH240" si="1188">+EC197+EC219+EC239</f>
        <v>0</v>
      </c>
      <c r="ED240" s="45">
        <f t="shared" si="1188"/>
        <v>0</v>
      </c>
      <c r="EE240" s="45">
        <f t="shared" si="1188"/>
        <v>0</v>
      </c>
      <c r="EF240" s="45">
        <f t="shared" si="1188"/>
        <v>56000</v>
      </c>
      <c r="EG240" s="45">
        <f t="shared" si="1188"/>
        <v>28000</v>
      </c>
      <c r="EH240" s="45">
        <f t="shared" si="1188"/>
        <v>0</v>
      </c>
      <c r="EI240" s="45">
        <f t="shared" si="1188"/>
        <v>0</v>
      </c>
      <c r="EJ240" s="45">
        <f t="shared" si="1188"/>
        <v>0</v>
      </c>
      <c r="EK240" s="45">
        <f t="shared" si="1188"/>
        <v>0</v>
      </c>
      <c r="EL240" s="45">
        <f t="shared" si="1188"/>
        <v>0</v>
      </c>
      <c r="EM240" s="45">
        <f t="shared" si="1188"/>
        <v>28000</v>
      </c>
      <c r="EN240" s="45">
        <f t="shared" si="1188"/>
        <v>0</v>
      </c>
      <c r="EO240" s="45">
        <f t="shared" si="1188"/>
        <v>0</v>
      </c>
      <c r="EP240" s="45">
        <f t="shared" si="1188"/>
        <v>0</v>
      </c>
      <c r="EQ240" s="45">
        <f t="shared" si="1188"/>
        <v>0</v>
      </c>
      <c r="ER240" s="45">
        <f t="shared" si="1188"/>
        <v>0</v>
      </c>
      <c r="ES240" s="45">
        <f t="shared" si="1188"/>
        <v>56000</v>
      </c>
      <c r="ET240" s="45">
        <f t="shared" si="1188"/>
        <v>28000</v>
      </c>
      <c r="EU240" s="45">
        <f t="shared" si="1188"/>
        <v>0</v>
      </c>
      <c r="EV240" s="45">
        <f t="shared" si="1188"/>
        <v>0</v>
      </c>
      <c r="EW240" s="45">
        <f t="shared" si="1188"/>
        <v>0</v>
      </c>
      <c r="EX240" s="45">
        <f t="shared" si="1188"/>
        <v>0</v>
      </c>
      <c r="EY240" s="45">
        <f t="shared" si="1188"/>
        <v>0</v>
      </c>
      <c r="EZ240" s="45">
        <f t="shared" si="1188"/>
        <v>28000</v>
      </c>
      <c r="FA240" s="45">
        <f t="shared" si="1188"/>
        <v>0</v>
      </c>
      <c r="FB240" s="45">
        <f t="shared" si="1188"/>
        <v>0</v>
      </c>
      <c r="FC240" s="45">
        <f t="shared" si="1188"/>
        <v>0</v>
      </c>
      <c r="FD240" s="45">
        <f t="shared" si="1188"/>
        <v>0</v>
      </c>
      <c r="FE240" s="45">
        <f t="shared" si="1188"/>
        <v>0</v>
      </c>
      <c r="FF240" s="45">
        <f t="shared" si="1188"/>
        <v>56000</v>
      </c>
      <c r="FG240" s="45">
        <f t="shared" si="1188"/>
        <v>168000</v>
      </c>
      <c r="FH240" s="45">
        <f t="shared" si="1188"/>
        <v>672000</v>
      </c>
    </row>
    <row r="241" ht="21.75" thickTop="1" x14ac:dyDescent="0.35"/>
  </sheetData>
  <autoFilter ref="A4:FH148" xr:uid="{00000000-0009-0000-0000-00000D000000}"/>
  <mergeCells count="170">
    <mergeCell ref="D2:I2"/>
    <mergeCell ref="J2:O2"/>
    <mergeCell ref="D1:P1"/>
    <mergeCell ref="Q1:AC1"/>
    <mergeCell ref="W2:AB2"/>
    <mergeCell ref="AR1:BD1"/>
    <mergeCell ref="BE1:BQ1"/>
    <mergeCell ref="BR1:CD1"/>
    <mergeCell ref="AR2:AW2"/>
    <mergeCell ref="AX2:BC2"/>
    <mergeCell ref="BE2:BJ2"/>
    <mergeCell ref="BK2:BP2"/>
    <mergeCell ref="BR2:BW2"/>
    <mergeCell ref="BX2:CC2"/>
    <mergeCell ref="D3:F3"/>
    <mergeCell ref="G3:I3"/>
    <mergeCell ref="J3:L3"/>
    <mergeCell ref="M3:O3"/>
    <mergeCell ref="Q3:S3"/>
    <mergeCell ref="DT1:EF1"/>
    <mergeCell ref="EG1:ES1"/>
    <mergeCell ref="ET1:FF1"/>
    <mergeCell ref="DT2:DY2"/>
    <mergeCell ref="DZ2:EE2"/>
    <mergeCell ref="EG2:EL2"/>
    <mergeCell ref="EM2:ER2"/>
    <mergeCell ref="ET2:EY2"/>
    <mergeCell ref="EZ2:FE2"/>
    <mergeCell ref="CF1:CR1"/>
    <mergeCell ref="CS1:DE1"/>
    <mergeCell ref="DF1:DR1"/>
    <mergeCell ref="CF2:CK2"/>
    <mergeCell ref="CL2:CQ2"/>
    <mergeCell ref="CS2:CX2"/>
    <mergeCell ref="CY2:DD2"/>
    <mergeCell ref="DF2:DK2"/>
    <mergeCell ref="DL2:DQ2"/>
    <mergeCell ref="AD1:AP1"/>
    <mergeCell ref="BA3:BC3"/>
    <mergeCell ref="W3:Y3"/>
    <mergeCell ref="Z3:AB3"/>
    <mergeCell ref="Q2:V2"/>
    <mergeCell ref="AD2:AI2"/>
    <mergeCell ref="AD3:AF3"/>
    <mergeCell ref="AG3:AI3"/>
    <mergeCell ref="T3:V3"/>
    <mergeCell ref="AJ3:AL3"/>
    <mergeCell ref="AM3:AO3"/>
    <mergeCell ref="AR3:AT3"/>
    <mergeCell ref="AU3:AW3"/>
    <mergeCell ref="AX3:AZ3"/>
    <mergeCell ref="AJ2:AO2"/>
    <mergeCell ref="DZ3:EB3"/>
    <mergeCell ref="CO3:CQ3"/>
    <mergeCell ref="BE3:BG3"/>
    <mergeCell ref="BH3:BJ3"/>
    <mergeCell ref="BK3:BM3"/>
    <mergeCell ref="BN3:BP3"/>
    <mergeCell ref="BR3:BT3"/>
    <mergeCell ref="BU3:BW3"/>
    <mergeCell ref="BX3:BZ3"/>
    <mergeCell ref="CA3:CC3"/>
    <mergeCell ref="CF3:CH3"/>
    <mergeCell ref="CI3:CK3"/>
    <mergeCell ref="CL3:CN3"/>
    <mergeCell ref="Q152:AC152"/>
    <mergeCell ref="AD152:AP152"/>
    <mergeCell ref="AR152:BD152"/>
    <mergeCell ref="BE152:BQ152"/>
    <mergeCell ref="EZ3:FB3"/>
    <mergeCell ref="FC3:FE3"/>
    <mergeCell ref="FH1:FH3"/>
    <mergeCell ref="EG3:EI3"/>
    <mergeCell ref="EJ3:EL3"/>
    <mergeCell ref="EM3:EO3"/>
    <mergeCell ref="EP3:ER3"/>
    <mergeCell ref="ET3:EV3"/>
    <mergeCell ref="EW3:EY3"/>
    <mergeCell ref="EC3:EE3"/>
    <mergeCell ref="CS3:CU3"/>
    <mergeCell ref="CV3:CX3"/>
    <mergeCell ref="CY3:DA3"/>
    <mergeCell ref="DB3:DD3"/>
    <mergeCell ref="DF3:DH3"/>
    <mergeCell ref="DI3:DK3"/>
    <mergeCell ref="DL3:DN3"/>
    <mergeCell ref="DO3:DQ3"/>
    <mergeCell ref="DT3:DV3"/>
    <mergeCell ref="DW3:DY3"/>
    <mergeCell ref="DF153:DK153"/>
    <mergeCell ref="DL153:DQ153"/>
    <mergeCell ref="EG152:ES152"/>
    <mergeCell ref="ET152:FF152"/>
    <mergeCell ref="FH152:FH154"/>
    <mergeCell ref="D153:I153"/>
    <mergeCell ref="J153:O153"/>
    <mergeCell ref="Q153:V153"/>
    <mergeCell ref="W153:AB153"/>
    <mergeCell ref="AD153:AI153"/>
    <mergeCell ref="AJ153:AO153"/>
    <mergeCell ref="AR153:AW153"/>
    <mergeCell ref="AX153:BC153"/>
    <mergeCell ref="BE153:BJ153"/>
    <mergeCell ref="BK153:BP153"/>
    <mergeCell ref="BR153:BW153"/>
    <mergeCell ref="BX153:CC153"/>
    <mergeCell ref="CF153:CK153"/>
    <mergeCell ref="BR152:CD152"/>
    <mergeCell ref="CF152:CR152"/>
    <mergeCell ref="CS152:DE152"/>
    <mergeCell ref="DF152:DR152"/>
    <mergeCell ref="DT152:EF152"/>
    <mergeCell ref="D152:P152"/>
    <mergeCell ref="EZ153:FE153"/>
    <mergeCell ref="D154:F154"/>
    <mergeCell ref="G154:I154"/>
    <mergeCell ref="J154:L154"/>
    <mergeCell ref="M154:O154"/>
    <mergeCell ref="Q154:S154"/>
    <mergeCell ref="T154:V154"/>
    <mergeCell ref="W154:Y154"/>
    <mergeCell ref="Z154:AB154"/>
    <mergeCell ref="AD154:AF154"/>
    <mergeCell ref="AG154:AI154"/>
    <mergeCell ref="AJ154:AL154"/>
    <mergeCell ref="AM154:AO154"/>
    <mergeCell ref="AR154:AT154"/>
    <mergeCell ref="AU154:AW154"/>
    <mergeCell ref="AX154:AZ154"/>
    <mergeCell ref="DT153:DY153"/>
    <mergeCell ref="DZ153:EE153"/>
    <mergeCell ref="EG153:EL153"/>
    <mergeCell ref="EM153:ER153"/>
    <mergeCell ref="ET153:EY153"/>
    <mergeCell ref="CL153:CQ153"/>
    <mergeCell ref="CS153:CX153"/>
    <mergeCell ref="CY153:DD153"/>
    <mergeCell ref="BR154:BT154"/>
    <mergeCell ref="BU154:BW154"/>
    <mergeCell ref="BX154:BZ154"/>
    <mergeCell ref="CA154:CC154"/>
    <mergeCell ref="CF154:CH154"/>
    <mergeCell ref="BA154:BC154"/>
    <mergeCell ref="BE154:BG154"/>
    <mergeCell ref="BH154:BJ154"/>
    <mergeCell ref="BK154:BM154"/>
    <mergeCell ref="BN154:BP154"/>
    <mergeCell ref="CY154:DA154"/>
    <mergeCell ref="DB154:DD154"/>
    <mergeCell ref="DF154:DH154"/>
    <mergeCell ref="DI154:DK154"/>
    <mergeCell ref="DL154:DN154"/>
    <mergeCell ref="CI154:CK154"/>
    <mergeCell ref="CL154:CN154"/>
    <mergeCell ref="CO154:CQ154"/>
    <mergeCell ref="CS154:CU154"/>
    <mergeCell ref="CV154:CX154"/>
    <mergeCell ref="EW154:EY154"/>
    <mergeCell ref="EZ154:FB154"/>
    <mergeCell ref="FC154:FE154"/>
    <mergeCell ref="EG154:EI154"/>
    <mergeCell ref="EJ154:EL154"/>
    <mergeCell ref="EM154:EO154"/>
    <mergeCell ref="EP154:ER154"/>
    <mergeCell ref="ET154:EV154"/>
    <mergeCell ref="DO154:DQ154"/>
    <mergeCell ref="DT154:DV154"/>
    <mergeCell ref="DW154:DY154"/>
    <mergeCell ref="DZ154:EB154"/>
    <mergeCell ref="EC154:EE154"/>
  </mergeCells>
  <pageMargins left="0.25" right="0.25" top="0.75" bottom="0.75" header="0.3" footer="0.3"/>
  <pageSetup paperSize="9" scale="65" orientation="landscape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J50"/>
  <sheetViews>
    <sheetView showGridLines="0" zoomScale="80" zoomScaleNormal="80" workbookViewId="0">
      <pane xSplit="3" ySplit="6" topLeftCell="DS37" activePane="bottomRight" state="frozen"/>
      <selection pane="topRight" activeCell="D1" sqref="D1"/>
      <selection pane="bottomLeft" activeCell="A7" sqref="A7"/>
      <selection pane="bottomRight" activeCell="A41" sqref="A41:XFD49"/>
    </sheetView>
  </sheetViews>
  <sheetFormatPr defaultColWidth="9" defaultRowHeight="21" x14ac:dyDescent="0.35"/>
  <cols>
    <col min="1" max="2" width="7.375" style="1" bestFit="1" customWidth="1"/>
    <col min="3" max="3" width="5.75" style="3" bestFit="1" customWidth="1"/>
    <col min="4" max="15" width="15.75" style="3" hidden="1" customWidth="1"/>
    <col min="16" max="16" width="15.25" style="3" bestFit="1" customWidth="1"/>
    <col min="17" max="28" width="12.375" style="3" hidden="1" customWidth="1"/>
    <col min="29" max="29" width="12.375" style="3" bestFit="1" customWidth="1"/>
    <col min="30" max="41" width="12.375" style="3" hidden="1" customWidth="1"/>
    <col min="42" max="42" width="12.375" style="3" bestFit="1" customWidth="1"/>
    <col min="43" max="43" width="15.25" style="3" bestFit="1" customWidth="1"/>
    <col min="44" max="55" width="12.375" style="3" hidden="1" customWidth="1"/>
    <col min="56" max="56" width="12.375" style="3" bestFit="1" customWidth="1"/>
    <col min="57" max="68" width="11.125" style="3" hidden="1" customWidth="1"/>
    <col min="69" max="69" width="11.25" style="3" bestFit="1" customWidth="1"/>
    <col min="70" max="76" width="9.25" style="3" hidden="1" customWidth="1"/>
    <col min="77" max="77" width="7.875" style="3" hidden="1" customWidth="1"/>
    <col min="78" max="81" width="7.375" style="3" hidden="1" customWidth="1"/>
    <col min="82" max="82" width="10.125" style="3" bestFit="1" customWidth="1"/>
    <col min="83" max="83" width="12.375" style="3" bestFit="1" customWidth="1"/>
    <col min="84" max="95" width="12.375" style="3" hidden="1" customWidth="1"/>
    <col min="96" max="96" width="12.375" style="3" bestFit="1" customWidth="1"/>
    <col min="97" max="108" width="11.125" style="3" hidden="1" customWidth="1"/>
    <col min="109" max="109" width="11.25" style="3" bestFit="1" customWidth="1"/>
    <col min="110" max="121" width="11.125" style="3" hidden="1" customWidth="1"/>
    <col min="122" max="122" width="11.25" style="3" bestFit="1" customWidth="1"/>
    <col min="123" max="123" width="12.375" style="3" bestFit="1" customWidth="1"/>
    <col min="124" max="135" width="13.875" style="3" hidden="1" customWidth="1"/>
    <col min="136" max="136" width="14.125" style="3" bestFit="1" customWidth="1"/>
    <col min="137" max="148" width="11.125" style="3" hidden="1" customWidth="1"/>
    <col min="149" max="149" width="11.25" style="3" bestFit="1" customWidth="1"/>
    <col min="150" max="161" width="11.125" style="3" hidden="1" customWidth="1"/>
    <col min="162" max="162" width="11.25" style="3" bestFit="1" customWidth="1"/>
    <col min="163" max="163" width="14.125" style="3" bestFit="1" customWidth="1"/>
    <col min="164" max="175" width="13.875" style="3" hidden="1" customWidth="1"/>
    <col min="176" max="176" width="14.125" style="3" bestFit="1" customWidth="1"/>
    <col min="177" max="188" width="12.375" style="3" hidden="1" customWidth="1"/>
    <col min="189" max="189" width="12.375" style="3" bestFit="1" customWidth="1"/>
    <col min="190" max="201" width="11.125" style="3" hidden="1" customWidth="1"/>
    <col min="202" max="202" width="11.25" style="3" bestFit="1" customWidth="1"/>
    <col min="203" max="203" width="14.125" style="3" bestFit="1" customWidth="1"/>
    <col min="204" max="209" width="12.375" style="1" hidden="1" customWidth="1"/>
    <col min="210" max="210" width="11.125" style="1" hidden="1" customWidth="1"/>
    <col min="211" max="214" width="12.375" style="1" hidden="1" customWidth="1"/>
    <col min="215" max="215" width="13.875" style="1" hidden="1" customWidth="1"/>
    <col min="216" max="216" width="12.375" style="1" bestFit="1" customWidth="1"/>
    <col min="217" max="217" width="15.25" style="1" bestFit="1" customWidth="1"/>
    <col min="218" max="218" width="13.375" style="1" bestFit="1" customWidth="1"/>
    <col min="219" max="16384" width="9" style="1"/>
  </cols>
  <sheetData>
    <row r="1" spans="1:218" x14ac:dyDescent="0.35">
      <c r="A1" s="97" t="s">
        <v>15</v>
      </c>
      <c r="B1" s="98"/>
      <c r="C1" s="98"/>
      <c r="D1" s="98"/>
      <c r="E1" s="9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HI1" s="19"/>
    </row>
    <row r="2" spans="1:218" s="12" customFormat="1" x14ac:dyDescent="0.35">
      <c r="A2" s="11"/>
      <c r="B2" s="11"/>
      <c r="C2" s="11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</row>
    <row r="3" spans="1:218" s="2" customFormat="1" x14ac:dyDescent="0.35">
      <c r="A3" s="92" t="s">
        <v>0</v>
      </c>
      <c r="B3" s="92" t="s">
        <v>14</v>
      </c>
      <c r="C3" s="20"/>
      <c r="D3" s="89" t="s">
        <v>21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28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29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30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56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21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1"/>
      <c r="HI3" s="92" t="s">
        <v>16</v>
      </c>
    </row>
    <row r="4" spans="1:218" s="2" customFormat="1" x14ac:dyDescent="0.35">
      <c r="A4" s="93"/>
      <c r="B4" s="93"/>
      <c r="C4" s="2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89" t="s">
        <v>87</v>
      </c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1"/>
      <c r="HI4" s="93"/>
    </row>
    <row r="5" spans="1:218" x14ac:dyDescent="0.35">
      <c r="A5" s="21"/>
      <c r="B5" s="21"/>
      <c r="C5" s="2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C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 t="shared" si="2"/>
        <v>ก.ย.</v>
      </c>
      <c r="BD5" s="17" t="s">
        <v>16</v>
      </c>
      <c r="BE5" s="16" t="str">
        <f>+AR5</f>
        <v>ต.ค.</v>
      </c>
      <c r="BF5" s="16" t="str">
        <f t="shared" ref="BF5:BP5" si="3">+AS5</f>
        <v>พ.ย.</v>
      </c>
      <c r="BG5" s="16" t="str">
        <f t="shared" si="3"/>
        <v>ธ.ค.</v>
      </c>
      <c r="BH5" s="16" t="str">
        <f t="shared" si="3"/>
        <v>ม.ค.</v>
      </c>
      <c r="BI5" s="16" t="str">
        <f t="shared" si="3"/>
        <v>ก.พ.</v>
      </c>
      <c r="BJ5" s="16" t="str">
        <f t="shared" si="3"/>
        <v>มี.ค.</v>
      </c>
      <c r="BK5" s="16" t="str">
        <f t="shared" si="3"/>
        <v>เม.ย.</v>
      </c>
      <c r="BL5" s="16" t="str">
        <f t="shared" si="3"/>
        <v>พ.ค.</v>
      </c>
      <c r="BM5" s="16" t="str">
        <f t="shared" si="3"/>
        <v>มิ.ย.</v>
      </c>
      <c r="BN5" s="16" t="str">
        <f t="shared" si="3"/>
        <v>ก.ค.</v>
      </c>
      <c r="BO5" s="16" t="str">
        <f t="shared" si="3"/>
        <v>ส.ค.</v>
      </c>
      <c r="BP5" s="16" t="str">
        <f t="shared" si="3"/>
        <v>ก.ย.</v>
      </c>
      <c r="BQ5" s="17" t="s">
        <v>16</v>
      </c>
      <c r="BR5" s="16" t="str">
        <f>+BE5</f>
        <v>ต.ค.</v>
      </c>
      <c r="BS5" s="16" t="str">
        <f t="shared" ref="BS5:CC5" si="4">+BF5</f>
        <v>พ.ย.</v>
      </c>
      <c r="BT5" s="16" t="str">
        <f t="shared" si="4"/>
        <v>ธ.ค.</v>
      </c>
      <c r="BU5" s="16" t="str">
        <f t="shared" si="4"/>
        <v>ม.ค.</v>
      </c>
      <c r="BV5" s="16" t="str">
        <f t="shared" si="4"/>
        <v>ก.พ.</v>
      </c>
      <c r="BW5" s="16" t="str">
        <f t="shared" si="4"/>
        <v>มี.ค.</v>
      </c>
      <c r="BX5" s="16" t="str">
        <f t="shared" si="4"/>
        <v>เม.ย.</v>
      </c>
      <c r="BY5" s="16" t="str">
        <f t="shared" si="4"/>
        <v>พ.ค.</v>
      </c>
      <c r="BZ5" s="16" t="str">
        <f t="shared" si="4"/>
        <v>มิ.ย.</v>
      </c>
      <c r="CA5" s="16" t="str">
        <f t="shared" si="4"/>
        <v>ก.ค.</v>
      </c>
      <c r="CB5" s="16" t="str">
        <f t="shared" si="4"/>
        <v>ส.ค.</v>
      </c>
      <c r="CC5" s="16" t="str">
        <f t="shared" si="4"/>
        <v>ก.ย.</v>
      </c>
      <c r="CD5" s="17" t="s">
        <v>16</v>
      </c>
      <c r="CE5" s="88"/>
      <c r="CF5" s="16" t="str">
        <f>+BR5</f>
        <v>ต.ค.</v>
      </c>
      <c r="CG5" s="16" t="str">
        <f t="shared" ref="CG5:CQ5" si="5">+BS5</f>
        <v>พ.ย.</v>
      </c>
      <c r="CH5" s="16" t="str">
        <f t="shared" si="5"/>
        <v>ธ.ค.</v>
      </c>
      <c r="CI5" s="16" t="str">
        <f t="shared" si="5"/>
        <v>ม.ค.</v>
      </c>
      <c r="CJ5" s="16" t="str">
        <f t="shared" si="5"/>
        <v>ก.พ.</v>
      </c>
      <c r="CK5" s="16" t="str">
        <f t="shared" si="5"/>
        <v>มี.ค.</v>
      </c>
      <c r="CL5" s="16" t="str">
        <f t="shared" si="5"/>
        <v>เม.ย.</v>
      </c>
      <c r="CM5" s="16" t="str">
        <f t="shared" si="5"/>
        <v>พ.ค.</v>
      </c>
      <c r="CN5" s="16" t="str">
        <f t="shared" si="5"/>
        <v>มิ.ย.</v>
      </c>
      <c r="CO5" s="16" t="str">
        <f t="shared" si="5"/>
        <v>ก.ค.</v>
      </c>
      <c r="CP5" s="16" t="str">
        <f t="shared" si="5"/>
        <v>ส.ค.</v>
      </c>
      <c r="CQ5" s="16" t="str">
        <f t="shared" si="5"/>
        <v>ก.ย.</v>
      </c>
      <c r="CR5" s="17" t="s">
        <v>16</v>
      </c>
      <c r="CS5" s="16" t="str">
        <f>+CF5</f>
        <v>ต.ค.</v>
      </c>
      <c r="CT5" s="16" t="str">
        <f t="shared" ref="CT5:DD5" si="6">+CG5</f>
        <v>พ.ย.</v>
      </c>
      <c r="CU5" s="16" t="str">
        <f t="shared" si="6"/>
        <v>ธ.ค.</v>
      </c>
      <c r="CV5" s="16" t="str">
        <f t="shared" si="6"/>
        <v>ม.ค.</v>
      </c>
      <c r="CW5" s="16" t="str">
        <f t="shared" si="6"/>
        <v>ก.พ.</v>
      </c>
      <c r="CX5" s="16" t="str">
        <f t="shared" si="6"/>
        <v>มี.ค.</v>
      </c>
      <c r="CY5" s="16" t="str">
        <f t="shared" si="6"/>
        <v>เม.ย.</v>
      </c>
      <c r="CZ5" s="16" t="str">
        <f t="shared" si="6"/>
        <v>พ.ค.</v>
      </c>
      <c r="DA5" s="16" t="str">
        <f t="shared" si="6"/>
        <v>มิ.ย.</v>
      </c>
      <c r="DB5" s="16" t="str">
        <f t="shared" si="6"/>
        <v>ก.ค.</v>
      </c>
      <c r="DC5" s="16" t="str">
        <f t="shared" si="6"/>
        <v>ส.ค.</v>
      </c>
      <c r="DD5" s="16" t="str">
        <f t="shared" si="6"/>
        <v>ก.ย.</v>
      </c>
      <c r="DE5" s="17" t="s">
        <v>16</v>
      </c>
      <c r="DF5" s="16" t="str">
        <f>+CS5</f>
        <v>ต.ค.</v>
      </c>
      <c r="DG5" s="16" t="str">
        <f t="shared" ref="DG5:DQ5" si="7">+CT5</f>
        <v>พ.ย.</v>
      </c>
      <c r="DH5" s="16" t="str">
        <f t="shared" si="7"/>
        <v>ธ.ค.</v>
      </c>
      <c r="DI5" s="16" t="str">
        <f t="shared" si="7"/>
        <v>ม.ค.</v>
      </c>
      <c r="DJ5" s="16" t="str">
        <f t="shared" si="7"/>
        <v>ก.พ.</v>
      </c>
      <c r="DK5" s="16" t="str">
        <f t="shared" si="7"/>
        <v>มี.ค.</v>
      </c>
      <c r="DL5" s="16" t="str">
        <f t="shared" si="7"/>
        <v>เม.ย.</v>
      </c>
      <c r="DM5" s="16" t="str">
        <f t="shared" si="7"/>
        <v>พ.ค.</v>
      </c>
      <c r="DN5" s="16" t="str">
        <f t="shared" si="7"/>
        <v>มิ.ย.</v>
      </c>
      <c r="DO5" s="16" t="str">
        <f t="shared" si="7"/>
        <v>ก.ค.</v>
      </c>
      <c r="DP5" s="16" t="str">
        <f t="shared" si="7"/>
        <v>ส.ค.</v>
      </c>
      <c r="DQ5" s="16" t="str">
        <f t="shared" si="7"/>
        <v>ก.ย.</v>
      </c>
      <c r="DR5" s="17" t="s">
        <v>16</v>
      </c>
      <c r="DS5" s="88"/>
      <c r="DT5" s="16" t="str">
        <f>+DF5</f>
        <v>ต.ค.</v>
      </c>
      <c r="DU5" s="16" t="str">
        <f t="shared" ref="DU5:EE5" si="8">+DG5</f>
        <v>พ.ย.</v>
      </c>
      <c r="DV5" s="16" t="str">
        <f t="shared" si="8"/>
        <v>ธ.ค.</v>
      </c>
      <c r="DW5" s="16" t="str">
        <f t="shared" si="8"/>
        <v>ม.ค.</v>
      </c>
      <c r="DX5" s="16" t="str">
        <f t="shared" si="8"/>
        <v>ก.พ.</v>
      </c>
      <c r="DY5" s="16" t="str">
        <f t="shared" si="8"/>
        <v>มี.ค.</v>
      </c>
      <c r="DZ5" s="16" t="str">
        <f t="shared" si="8"/>
        <v>เม.ย.</v>
      </c>
      <c r="EA5" s="16" t="str">
        <f t="shared" si="8"/>
        <v>พ.ค.</v>
      </c>
      <c r="EB5" s="16" t="str">
        <f t="shared" si="8"/>
        <v>มิ.ย.</v>
      </c>
      <c r="EC5" s="16" t="str">
        <f t="shared" si="8"/>
        <v>ก.ค.</v>
      </c>
      <c r="ED5" s="16" t="str">
        <f t="shared" si="8"/>
        <v>ส.ค.</v>
      </c>
      <c r="EE5" s="16" t="str">
        <f t="shared" si="8"/>
        <v>ก.ย.</v>
      </c>
      <c r="EF5" s="17" t="s">
        <v>16</v>
      </c>
      <c r="EG5" s="16" t="str">
        <f>+DT5</f>
        <v>ต.ค.</v>
      </c>
      <c r="EH5" s="16" t="str">
        <f t="shared" ref="EH5:ER5" si="9">+DU5</f>
        <v>พ.ย.</v>
      </c>
      <c r="EI5" s="16" t="str">
        <f t="shared" si="9"/>
        <v>ธ.ค.</v>
      </c>
      <c r="EJ5" s="16" t="str">
        <f t="shared" si="9"/>
        <v>ม.ค.</v>
      </c>
      <c r="EK5" s="16" t="str">
        <f t="shared" si="9"/>
        <v>ก.พ.</v>
      </c>
      <c r="EL5" s="16" t="str">
        <f t="shared" si="9"/>
        <v>มี.ค.</v>
      </c>
      <c r="EM5" s="16" t="str">
        <f t="shared" si="9"/>
        <v>เม.ย.</v>
      </c>
      <c r="EN5" s="16" t="str">
        <f t="shared" si="9"/>
        <v>พ.ค.</v>
      </c>
      <c r="EO5" s="16" t="str">
        <f t="shared" si="9"/>
        <v>มิ.ย.</v>
      </c>
      <c r="EP5" s="16" t="str">
        <f t="shared" si="9"/>
        <v>ก.ค.</v>
      </c>
      <c r="EQ5" s="16" t="str">
        <f t="shared" si="9"/>
        <v>ส.ค.</v>
      </c>
      <c r="ER5" s="16" t="str">
        <f t="shared" si="9"/>
        <v>ก.ย.</v>
      </c>
      <c r="ES5" s="17" t="s">
        <v>16</v>
      </c>
      <c r="ET5" s="16" t="str">
        <f>+EG5</f>
        <v>ต.ค.</v>
      </c>
      <c r="EU5" s="16" t="str">
        <f t="shared" ref="EU5:FE5" si="10">+EH5</f>
        <v>พ.ย.</v>
      </c>
      <c r="EV5" s="16" t="str">
        <f t="shared" si="10"/>
        <v>ธ.ค.</v>
      </c>
      <c r="EW5" s="16" t="str">
        <f t="shared" si="10"/>
        <v>ม.ค.</v>
      </c>
      <c r="EX5" s="16" t="str">
        <f t="shared" si="10"/>
        <v>ก.พ.</v>
      </c>
      <c r="EY5" s="16" t="str">
        <f t="shared" si="10"/>
        <v>มี.ค.</v>
      </c>
      <c r="EZ5" s="16" t="str">
        <f t="shared" si="10"/>
        <v>เม.ย.</v>
      </c>
      <c r="FA5" s="16" t="str">
        <f t="shared" si="10"/>
        <v>พ.ค.</v>
      </c>
      <c r="FB5" s="16" t="str">
        <f t="shared" si="10"/>
        <v>มิ.ย.</v>
      </c>
      <c r="FC5" s="16" t="str">
        <f t="shared" si="10"/>
        <v>ก.ค.</v>
      </c>
      <c r="FD5" s="16" t="str">
        <f t="shared" si="10"/>
        <v>ส.ค.</v>
      </c>
      <c r="FE5" s="16" t="str">
        <f t="shared" si="10"/>
        <v>ก.ย.</v>
      </c>
      <c r="FF5" s="17" t="s">
        <v>16</v>
      </c>
      <c r="FG5" s="88"/>
      <c r="FH5" s="16" t="str">
        <f>+ET5</f>
        <v>ต.ค.</v>
      </c>
      <c r="FI5" s="16" t="str">
        <f t="shared" ref="FI5:FS5" si="11">+EU5</f>
        <v>พ.ย.</v>
      </c>
      <c r="FJ5" s="16" t="str">
        <f t="shared" si="11"/>
        <v>ธ.ค.</v>
      </c>
      <c r="FK5" s="16" t="str">
        <f t="shared" si="11"/>
        <v>ม.ค.</v>
      </c>
      <c r="FL5" s="16" t="str">
        <f t="shared" si="11"/>
        <v>ก.พ.</v>
      </c>
      <c r="FM5" s="16" t="str">
        <f t="shared" si="11"/>
        <v>มี.ค.</v>
      </c>
      <c r="FN5" s="16" t="str">
        <f t="shared" si="11"/>
        <v>เม.ย.</v>
      </c>
      <c r="FO5" s="16" t="str">
        <f t="shared" si="11"/>
        <v>พ.ค.</v>
      </c>
      <c r="FP5" s="16" t="str">
        <f t="shared" si="11"/>
        <v>มิ.ย.</v>
      </c>
      <c r="FQ5" s="16" t="str">
        <f t="shared" si="11"/>
        <v>ก.ค.</v>
      </c>
      <c r="FR5" s="16" t="str">
        <f t="shared" si="11"/>
        <v>ส.ค.</v>
      </c>
      <c r="FS5" s="16" t="str">
        <f t="shared" si="11"/>
        <v>ก.ย.</v>
      </c>
      <c r="FT5" s="17" t="s">
        <v>16</v>
      </c>
      <c r="FU5" s="16" t="str">
        <f>+FH5</f>
        <v>ต.ค.</v>
      </c>
      <c r="FV5" s="16" t="str">
        <f t="shared" ref="FV5:GF5" si="12">+FI5</f>
        <v>พ.ย.</v>
      </c>
      <c r="FW5" s="16" t="str">
        <f t="shared" si="12"/>
        <v>ธ.ค.</v>
      </c>
      <c r="FX5" s="16" t="str">
        <f t="shared" si="12"/>
        <v>ม.ค.</v>
      </c>
      <c r="FY5" s="16" t="str">
        <f t="shared" si="12"/>
        <v>ก.พ.</v>
      </c>
      <c r="FZ5" s="16" t="str">
        <f t="shared" si="12"/>
        <v>มี.ค.</v>
      </c>
      <c r="GA5" s="16" t="str">
        <f t="shared" si="12"/>
        <v>เม.ย.</v>
      </c>
      <c r="GB5" s="16" t="str">
        <f t="shared" si="12"/>
        <v>พ.ค.</v>
      </c>
      <c r="GC5" s="16" t="str">
        <f t="shared" si="12"/>
        <v>มิ.ย.</v>
      </c>
      <c r="GD5" s="16" t="str">
        <f t="shared" si="12"/>
        <v>ก.ค.</v>
      </c>
      <c r="GE5" s="16" t="str">
        <f t="shared" si="12"/>
        <v>ส.ค.</v>
      </c>
      <c r="GF5" s="16" t="str">
        <f t="shared" si="12"/>
        <v>ก.ย.</v>
      </c>
      <c r="GG5" s="17" t="s">
        <v>16</v>
      </c>
      <c r="GH5" s="16" t="str">
        <f>+FU5</f>
        <v>ต.ค.</v>
      </c>
      <c r="GI5" s="16" t="str">
        <f t="shared" ref="GI5:GS5" si="13">+FV5</f>
        <v>พ.ย.</v>
      </c>
      <c r="GJ5" s="16" t="str">
        <f t="shared" si="13"/>
        <v>ธ.ค.</v>
      </c>
      <c r="GK5" s="16" t="str">
        <f t="shared" si="13"/>
        <v>ม.ค.</v>
      </c>
      <c r="GL5" s="16" t="str">
        <f t="shared" si="13"/>
        <v>ก.พ.</v>
      </c>
      <c r="GM5" s="16" t="str">
        <f t="shared" si="13"/>
        <v>มี.ค.</v>
      </c>
      <c r="GN5" s="16" t="str">
        <f t="shared" si="13"/>
        <v>เม.ย.</v>
      </c>
      <c r="GO5" s="16" t="str">
        <f t="shared" si="13"/>
        <v>พ.ค.</v>
      </c>
      <c r="GP5" s="16" t="str">
        <f t="shared" si="13"/>
        <v>มิ.ย.</v>
      </c>
      <c r="GQ5" s="16" t="str">
        <f t="shared" si="13"/>
        <v>ก.ค.</v>
      </c>
      <c r="GR5" s="16" t="str">
        <f t="shared" si="13"/>
        <v>ส.ค.</v>
      </c>
      <c r="GS5" s="16" t="str">
        <f t="shared" si="13"/>
        <v>ก.ย.</v>
      </c>
      <c r="GT5" s="17" t="s">
        <v>16</v>
      </c>
      <c r="GU5" s="88"/>
      <c r="GV5" s="16" t="str">
        <f>+GH5</f>
        <v>ต.ค.</v>
      </c>
      <c r="GW5" s="16" t="str">
        <f t="shared" ref="GW5:HG5" si="14">+GI5</f>
        <v>พ.ย.</v>
      </c>
      <c r="GX5" s="16" t="str">
        <f t="shared" si="14"/>
        <v>ธ.ค.</v>
      </c>
      <c r="GY5" s="16" t="str">
        <f t="shared" si="14"/>
        <v>ม.ค.</v>
      </c>
      <c r="GZ5" s="16" t="str">
        <f t="shared" si="14"/>
        <v>ก.พ.</v>
      </c>
      <c r="HA5" s="16" t="str">
        <f t="shared" si="14"/>
        <v>มี.ค.</v>
      </c>
      <c r="HB5" s="16" t="str">
        <f t="shared" si="14"/>
        <v>เม.ย.</v>
      </c>
      <c r="HC5" s="16" t="str">
        <f t="shared" si="14"/>
        <v>พ.ค.</v>
      </c>
      <c r="HD5" s="16" t="str">
        <f t="shared" si="14"/>
        <v>มิ.ย.</v>
      </c>
      <c r="HE5" s="16" t="str">
        <f t="shared" si="14"/>
        <v>ก.ค.</v>
      </c>
      <c r="HF5" s="16" t="str">
        <f t="shared" si="14"/>
        <v>ส.ค.</v>
      </c>
      <c r="HG5" s="16" t="str">
        <f t="shared" si="14"/>
        <v>ก.ย.</v>
      </c>
      <c r="HH5" s="17" t="s">
        <v>16</v>
      </c>
      <c r="HI5" s="24"/>
    </row>
    <row r="6" spans="1:218" x14ac:dyDescent="0.35">
      <c r="A6" s="5" t="s">
        <v>1</v>
      </c>
      <c r="B6" s="5" t="s">
        <v>8</v>
      </c>
      <c r="C6" s="5" t="s">
        <v>17</v>
      </c>
      <c r="D6" s="4">
        <v>820440</v>
      </c>
      <c r="E6" s="4">
        <v>820440</v>
      </c>
      <c r="F6" s="4">
        <v>820440</v>
      </c>
      <c r="G6" s="4">
        <f>24556.45+846690</f>
        <v>871246.45</v>
      </c>
      <c r="H6" s="4">
        <v>846690</v>
      </c>
      <c r="I6" s="4">
        <v>846690</v>
      </c>
      <c r="J6" s="37">
        <f>222600+883790</f>
        <v>1106390</v>
      </c>
      <c r="K6" s="37">
        <v>883790</v>
      </c>
      <c r="L6" s="4">
        <v>883790</v>
      </c>
      <c r="M6" s="4">
        <v>883790</v>
      </c>
      <c r="N6" s="4">
        <v>860053.23</v>
      </c>
      <c r="O6" s="4">
        <v>853130</v>
      </c>
      <c r="P6" s="4">
        <f>SUM(D6:O6)</f>
        <v>10496889.68</v>
      </c>
      <c r="Q6" s="4">
        <v>18750</v>
      </c>
      <c r="R6" s="4">
        <v>18750</v>
      </c>
      <c r="S6" s="4">
        <v>18750</v>
      </c>
      <c r="T6" s="4">
        <f>750+19500</f>
        <v>20250</v>
      </c>
      <c r="U6" s="4">
        <v>19500</v>
      </c>
      <c r="V6" s="4">
        <v>19500</v>
      </c>
      <c r="W6" s="4">
        <v>19500</v>
      </c>
      <c r="X6" s="4">
        <v>19500</v>
      </c>
      <c r="Y6" s="4">
        <v>19500</v>
      </c>
      <c r="Z6" s="4">
        <v>19500</v>
      </c>
      <c r="AA6" s="4">
        <v>19096</v>
      </c>
      <c r="AB6" s="4">
        <v>18750</v>
      </c>
      <c r="AC6" s="4">
        <f>SUM(Q6:AB6)</f>
        <v>231346</v>
      </c>
      <c r="AD6" s="4">
        <v>19343</v>
      </c>
      <c r="AE6" s="4">
        <v>20301</v>
      </c>
      <c r="AF6" s="4">
        <v>20301</v>
      </c>
      <c r="AG6" s="4">
        <v>20301</v>
      </c>
      <c r="AH6" s="4">
        <v>20301</v>
      </c>
      <c r="AI6" s="4">
        <v>20301</v>
      </c>
      <c r="AJ6" s="37">
        <f>5696+22080</f>
        <v>27776</v>
      </c>
      <c r="AK6" s="4">
        <v>22080</v>
      </c>
      <c r="AL6" s="4">
        <v>22080</v>
      </c>
      <c r="AM6" s="4">
        <v>22080</v>
      </c>
      <c r="AN6" s="4">
        <v>21368</v>
      </c>
      <c r="AO6" s="4">
        <v>21160</v>
      </c>
      <c r="AP6" s="4">
        <f>SUM(AD6:AO6)</f>
        <v>257392</v>
      </c>
      <c r="AQ6" s="4">
        <f>+P6+AC6+AP6</f>
        <v>10985627.68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>
        <f>SUM(AR6:BC6)</f>
        <v>0</v>
      </c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>
        <f>SUM(BE6:BP6)</f>
        <v>0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f>SUM(BR6:CC6)</f>
        <v>0</v>
      </c>
      <c r="CE6" s="4">
        <f>+BD6+BQ6+CD6</f>
        <v>0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>
        <f>SUM(CF6:CQ6)</f>
        <v>0</v>
      </c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>
        <f>SUM(CS6:DD6)</f>
        <v>0</v>
      </c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>
        <f>SUM(DF6:DQ6)</f>
        <v>0</v>
      </c>
      <c r="DS6" s="4">
        <f>+CR6+DE6+DR6</f>
        <v>0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>
        <f>SUM(DT6:EE6)</f>
        <v>0</v>
      </c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f>SUM(EG6:ER6)</f>
        <v>0</v>
      </c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>
        <f>SUM(ET6:FE6)</f>
        <v>0</v>
      </c>
      <c r="FG6" s="4">
        <f>+EF6+ES6+FF6</f>
        <v>0</v>
      </c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>
        <f>SUM(FH6:FS6)</f>
        <v>0</v>
      </c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f>SUM(FU6:GF6)</f>
        <v>0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>
        <f>SUM(GH6:GS6)</f>
        <v>0</v>
      </c>
      <c r="GU6" s="4">
        <f>+FT6+GG6+GT6</f>
        <v>0</v>
      </c>
      <c r="GV6" s="4">
        <v>5600</v>
      </c>
      <c r="GW6" s="4">
        <v>5600</v>
      </c>
      <c r="GX6" s="4">
        <f>21466.67+11200+11200</f>
        <v>43866.67</v>
      </c>
      <c r="GY6" s="4">
        <v>11200</v>
      </c>
      <c r="GZ6" s="4">
        <v>11200</v>
      </c>
      <c r="HA6" s="4">
        <v>11200</v>
      </c>
      <c r="HB6" s="4">
        <v>11200</v>
      </c>
      <c r="HC6" s="4">
        <v>11200</v>
      </c>
      <c r="HD6" s="4">
        <v>11200</v>
      </c>
      <c r="HE6" s="4">
        <v>11200</v>
      </c>
      <c r="HF6" s="4">
        <f>114167.74+11200</f>
        <v>125367.74</v>
      </c>
      <c r="HG6" s="4">
        <v>16800</v>
      </c>
      <c r="HH6" s="4">
        <f>SUM(GV6:HG6)</f>
        <v>275634.40999999997</v>
      </c>
      <c r="HI6" s="13">
        <f>+AQ6+CE6+DS6+FG6+GU6+HH6</f>
        <v>11261262.09</v>
      </c>
    </row>
    <row r="7" spans="1:218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15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16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17">SUM(AD7:AO7)</f>
        <v>0</v>
      </c>
      <c r="AQ7" s="4">
        <f t="shared" ref="AQ7:AQ40" si="18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19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20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21">SUM(BR7:CC7)</f>
        <v>0</v>
      </c>
      <c r="CE7" s="4">
        <f t="shared" ref="CE7:CE40" si="22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23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24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25">SUM(DF7:DQ7)</f>
        <v>0</v>
      </c>
      <c r="DS7" s="4">
        <f t="shared" ref="DS7:DS40" si="26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27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28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29">SUM(ET7:FE7)</f>
        <v>0</v>
      </c>
      <c r="FG7" s="4">
        <f t="shared" ref="FG7:FG40" si="30">+EF7+ES7+FF7</f>
        <v>0</v>
      </c>
      <c r="FH7" s="4">
        <v>114057</v>
      </c>
      <c r="FI7" s="4">
        <v>143150</v>
      </c>
      <c r="FJ7" s="4">
        <v>143150</v>
      </c>
      <c r="FK7" s="4">
        <v>143150</v>
      </c>
      <c r="FL7" s="4">
        <v>143150</v>
      </c>
      <c r="FM7" s="4">
        <v>143150</v>
      </c>
      <c r="FN7" s="37">
        <f>38477.42+149730</f>
        <v>188207.41999999998</v>
      </c>
      <c r="FO7" s="4">
        <v>149730</v>
      </c>
      <c r="FP7" s="4">
        <v>149750</v>
      </c>
      <c r="FQ7" s="4">
        <v>149730</v>
      </c>
      <c r="FR7" s="4">
        <v>149730</v>
      </c>
      <c r="FS7" s="4">
        <v>149730</v>
      </c>
      <c r="FT7" s="4">
        <f t="shared" ref="FT7:FT40" si="31">SUM(FH7:FS7)</f>
        <v>1766684.42</v>
      </c>
      <c r="FU7" s="4">
        <v>2406</v>
      </c>
      <c r="FV7" s="4">
        <v>3000</v>
      </c>
      <c r="FW7" s="4">
        <v>3000</v>
      </c>
      <c r="FX7" s="4">
        <v>3000</v>
      </c>
      <c r="FY7" s="4">
        <v>3000</v>
      </c>
      <c r="FZ7" s="4">
        <v>3000</v>
      </c>
      <c r="GA7" s="37">
        <f>5+3000</f>
        <v>3005</v>
      </c>
      <c r="GB7" s="4">
        <v>3000</v>
      </c>
      <c r="GC7" s="4">
        <v>3000</v>
      </c>
      <c r="GD7" s="4">
        <v>3000</v>
      </c>
      <c r="GE7" s="4">
        <v>3000</v>
      </c>
      <c r="GF7" s="4">
        <v>3000</v>
      </c>
      <c r="GG7" s="4">
        <f t="shared" ref="GG7:GG40" si="32">SUM(FU7:GF7)</f>
        <v>35411</v>
      </c>
      <c r="GH7" s="4">
        <v>3423</v>
      </c>
      <c r="GI7" s="4">
        <v>4295</v>
      </c>
      <c r="GJ7" s="4">
        <v>4295</v>
      </c>
      <c r="GK7" s="4">
        <v>4295</v>
      </c>
      <c r="GL7" s="4">
        <v>4295</v>
      </c>
      <c r="GM7" s="4">
        <v>4295</v>
      </c>
      <c r="GN7" s="37">
        <f>1152+4493</f>
        <v>5645</v>
      </c>
      <c r="GO7" s="4">
        <v>4493</v>
      </c>
      <c r="GP7" s="4">
        <v>4493</v>
      </c>
      <c r="GQ7" s="4">
        <v>4493</v>
      </c>
      <c r="GR7" s="4">
        <v>4493</v>
      </c>
      <c r="GS7" s="4">
        <v>4493</v>
      </c>
      <c r="GT7" s="4">
        <f t="shared" ref="GT7:GT40" si="33">SUM(GH7:GS7)</f>
        <v>53008</v>
      </c>
      <c r="GU7" s="4">
        <f t="shared" ref="GU7:GU40" si="34">+FT7+GG7+GT7</f>
        <v>1855103.42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>SUM(GV7:HG7)</f>
        <v>0</v>
      </c>
      <c r="HI7" s="13">
        <f t="shared" ref="HI7:HI39" si="35">+AQ7+CE7+DS7+FG7+GU7+HH7</f>
        <v>1855103.42</v>
      </c>
    </row>
    <row r="8" spans="1:218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15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16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17"/>
        <v>0</v>
      </c>
      <c r="AQ8" s="4">
        <f t="shared" si="18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19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20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21"/>
        <v>0</v>
      </c>
      <c r="CE8" s="4">
        <f t="shared" si="22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23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24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25"/>
        <v>0</v>
      </c>
      <c r="DS8" s="4">
        <f t="shared" si="26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27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28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29"/>
        <v>0</v>
      </c>
      <c r="FG8" s="4">
        <f t="shared" si="30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31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32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33"/>
        <v>0</v>
      </c>
      <c r="GU8" s="4">
        <f t="shared" si="34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ref="HH8:HH40" si="36">SUM(GV8:HG8)</f>
        <v>0</v>
      </c>
      <c r="HI8" s="13">
        <f t="shared" si="35"/>
        <v>0</v>
      </c>
    </row>
    <row r="9" spans="1:218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15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16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17"/>
        <v>0</v>
      </c>
      <c r="AQ9" s="4">
        <f t="shared" si="18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19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20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21"/>
        <v>0</v>
      </c>
      <c r="CE9" s="4">
        <f t="shared" si="22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23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24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25"/>
        <v>0</v>
      </c>
      <c r="DS9" s="4">
        <f t="shared" si="26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27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28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29"/>
        <v>0</v>
      </c>
      <c r="FG9" s="4">
        <f t="shared" si="30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31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32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33"/>
        <v>0</v>
      </c>
      <c r="GU9" s="4">
        <f t="shared" si="34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36"/>
        <v>0</v>
      </c>
      <c r="HI9" s="13">
        <f t="shared" si="35"/>
        <v>0</v>
      </c>
    </row>
    <row r="10" spans="1:218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15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16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17"/>
        <v>0</v>
      </c>
      <c r="AQ10" s="4">
        <f t="shared" si="18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19"/>
        <v>0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f t="shared" si="20"/>
        <v>0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>
        <f t="shared" si="21"/>
        <v>0</v>
      </c>
      <c r="CE10" s="4">
        <f t="shared" si="22"/>
        <v>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23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24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25"/>
        <v>0</v>
      </c>
      <c r="DS10" s="4">
        <f t="shared" si="26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27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28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29"/>
        <v>0</v>
      </c>
      <c r="FG10" s="4">
        <f t="shared" si="30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31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32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33"/>
        <v>0</v>
      </c>
      <c r="GU10" s="4">
        <f t="shared" si="34"/>
        <v>0</v>
      </c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>
        <f t="shared" si="36"/>
        <v>0</v>
      </c>
      <c r="HI10" s="13">
        <f t="shared" si="35"/>
        <v>0</v>
      </c>
    </row>
    <row r="11" spans="1:218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15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16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17"/>
        <v>0</v>
      </c>
      <c r="AQ11" s="4">
        <f t="shared" si="18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19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20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21"/>
        <v>0</v>
      </c>
      <c r="CE11" s="4">
        <f t="shared" si="22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23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24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25"/>
        <v>0</v>
      </c>
      <c r="DS11" s="4">
        <f t="shared" si="26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27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28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29"/>
        <v>0</v>
      </c>
      <c r="FG11" s="4">
        <f t="shared" si="30"/>
        <v>0</v>
      </c>
      <c r="FH11" s="4">
        <v>48460</v>
      </c>
      <c r="FI11" s="4">
        <v>48460</v>
      </c>
      <c r="FJ11" s="4">
        <v>48460</v>
      </c>
      <c r="FK11" s="4">
        <v>48460</v>
      </c>
      <c r="FL11" s="4">
        <v>48460</v>
      </c>
      <c r="FM11" s="4">
        <v>48460</v>
      </c>
      <c r="FN11" s="37">
        <f>14580+50890</f>
        <v>65470</v>
      </c>
      <c r="FO11" s="4">
        <v>50890</v>
      </c>
      <c r="FP11" s="4">
        <v>50890</v>
      </c>
      <c r="FQ11" s="4">
        <v>50890</v>
      </c>
      <c r="FR11" s="4">
        <v>50890</v>
      </c>
      <c r="FS11" s="4">
        <v>50890</v>
      </c>
      <c r="FT11" s="4">
        <f t="shared" si="31"/>
        <v>610680</v>
      </c>
      <c r="FU11" s="4">
        <v>1500</v>
      </c>
      <c r="FV11" s="4">
        <v>1500</v>
      </c>
      <c r="FW11" s="4">
        <v>1500</v>
      </c>
      <c r="FX11" s="4">
        <v>1500</v>
      </c>
      <c r="FY11" s="4">
        <v>1500</v>
      </c>
      <c r="FZ11" s="4">
        <v>1500</v>
      </c>
      <c r="GA11" s="4">
        <v>1500</v>
      </c>
      <c r="GB11" s="4">
        <v>1500</v>
      </c>
      <c r="GC11" s="4">
        <v>1500</v>
      </c>
      <c r="GD11" s="4">
        <v>1500</v>
      </c>
      <c r="GE11" s="4">
        <v>1500</v>
      </c>
      <c r="GF11" s="4">
        <v>1500</v>
      </c>
      <c r="GG11" s="4">
        <f t="shared" si="32"/>
        <v>18000</v>
      </c>
      <c r="GH11" s="4">
        <v>1453</v>
      </c>
      <c r="GI11" s="4">
        <v>1453</v>
      </c>
      <c r="GJ11" s="4">
        <v>1453</v>
      </c>
      <c r="GK11" s="4">
        <v>1453</v>
      </c>
      <c r="GL11" s="4">
        <v>1453</v>
      </c>
      <c r="GM11" s="4">
        <v>1453</v>
      </c>
      <c r="GN11" s="37">
        <f>438+1526</f>
        <v>1964</v>
      </c>
      <c r="GO11" s="4">
        <v>1526</v>
      </c>
      <c r="GP11" s="4">
        <v>1526</v>
      </c>
      <c r="GQ11" s="4">
        <v>1526</v>
      </c>
      <c r="GR11" s="4">
        <v>1526</v>
      </c>
      <c r="GS11" s="4">
        <v>1526</v>
      </c>
      <c r="GT11" s="4">
        <f t="shared" si="33"/>
        <v>18312</v>
      </c>
      <c r="GU11" s="4">
        <f t="shared" si="34"/>
        <v>646992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36"/>
        <v>0</v>
      </c>
      <c r="HI11" s="13">
        <f t="shared" si="35"/>
        <v>646992</v>
      </c>
    </row>
    <row r="12" spans="1:218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15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16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17"/>
        <v>0</v>
      </c>
      <c r="AQ12" s="4">
        <f t="shared" si="18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19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20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21"/>
        <v>0</v>
      </c>
      <c r="CE12" s="4">
        <f t="shared" si="22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23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24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25"/>
        <v>0</v>
      </c>
      <c r="DS12" s="4">
        <f t="shared" si="26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27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28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29"/>
        <v>0</v>
      </c>
      <c r="FG12" s="4">
        <f t="shared" si="30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31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32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33"/>
        <v>0</v>
      </c>
      <c r="GU12" s="4">
        <f t="shared" si="34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36"/>
        <v>0</v>
      </c>
      <c r="HI12" s="13">
        <f t="shared" si="35"/>
        <v>0</v>
      </c>
    </row>
    <row r="13" spans="1:218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15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16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17"/>
        <v>0</v>
      </c>
      <c r="AQ13" s="4">
        <f t="shared" si="18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19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20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21"/>
        <v>0</v>
      </c>
      <c r="CE13" s="4">
        <f t="shared" si="22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23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24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25"/>
        <v>0</v>
      </c>
      <c r="DS13" s="4">
        <f t="shared" si="26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27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28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29"/>
        <v>0</v>
      </c>
      <c r="FG13" s="4">
        <f t="shared" si="30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31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32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33"/>
        <v>0</v>
      </c>
      <c r="GU13" s="4">
        <f t="shared" si="34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36"/>
        <v>0</v>
      </c>
      <c r="HI13" s="13">
        <f t="shared" si="35"/>
        <v>0</v>
      </c>
      <c r="HJ13" s="84">
        <f>SUM(HI6:HI13)</f>
        <v>13763357.51</v>
      </c>
    </row>
    <row r="14" spans="1:218" s="10" customFormat="1" x14ac:dyDescent="0.35">
      <c r="A14" s="5" t="s">
        <v>2</v>
      </c>
      <c r="B14" s="5" t="s">
        <v>8</v>
      </c>
      <c r="C14" s="5" t="s">
        <v>17</v>
      </c>
      <c r="D14" s="4">
        <v>100940</v>
      </c>
      <c r="E14" s="4">
        <v>100940</v>
      </c>
      <c r="F14" s="4">
        <v>100940</v>
      </c>
      <c r="G14" s="4">
        <v>100940</v>
      </c>
      <c r="H14" s="4">
        <v>100940</v>
      </c>
      <c r="I14" s="4">
        <v>100940</v>
      </c>
      <c r="J14" s="37">
        <f>20100+104290</f>
        <v>124390</v>
      </c>
      <c r="K14" s="4">
        <v>104290</v>
      </c>
      <c r="L14" s="4">
        <v>104290</v>
      </c>
      <c r="M14" s="4">
        <v>104290</v>
      </c>
      <c r="N14" s="4">
        <v>104290</v>
      </c>
      <c r="O14" s="4">
        <v>104290</v>
      </c>
      <c r="P14" s="4">
        <f t="shared" si="15"/>
        <v>1251480</v>
      </c>
      <c r="Q14" s="4">
        <v>2250</v>
      </c>
      <c r="R14" s="4">
        <v>2250</v>
      </c>
      <c r="S14" s="4">
        <v>2250</v>
      </c>
      <c r="T14" s="4">
        <v>2250</v>
      </c>
      <c r="U14" s="4">
        <v>2250</v>
      </c>
      <c r="V14" s="4">
        <f>2250+92.01</f>
        <v>2342.0100000000002</v>
      </c>
      <c r="W14" s="4">
        <v>2250</v>
      </c>
      <c r="X14" s="4">
        <v>2250</v>
      </c>
      <c r="Y14" s="4">
        <v>2250</v>
      </c>
      <c r="Z14" s="4">
        <v>2250</v>
      </c>
      <c r="AA14" s="4">
        <v>2250</v>
      </c>
      <c r="AB14" s="4">
        <v>2250</v>
      </c>
      <c r="AC14" s="4">
        <f t="shared" si="16"/>
        <v>27092.010000000002</v>
      </c>
      <c r="AD14" s="4">
        <v>3028</v>
      </c>
      <c r="AE14" s="4">
        <v>3028</v>
      </c>
      <c r="AF14" s="4">
        <v>3028</v>
      </c>
      <c r="AG14" s="4">
        <v>3028</v>
      </c>
      <c r="AH14" s="4">
        <v>3028</v>
      </c>
      <c r="AI14" s="4">
        <v>3028</v>
      </c>
      <c r="AJ14" s="37">
        <f>606+3129</f>
        <v>3735</v>
      </c>
      <c r="AK14" s="4">
        <v>3129</v>
      </c>
      <c r="AL14" s="4">
        <v>3129</v>
      </c>
      <c r="AM14" s="4">
        <v>3129</v>
      </c>
      <c r="AN14" s="4">
        <v>3129</v>
      </c>
      <c r="AO14" s="4">
        <v>3129</v>
      </c>
      <c r="AP14" s="4">
        <f t="shared" si="17"/>
        <v>37548</v>
      </c>
      <c r="AQ14" s="4">
        <f t="shared" si="18"/>
        <v>1316120.01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19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20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21"/>
        <v>0</v>
      </c>
      <c r="CE14" s="4">
        <f t="shared" si="22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23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24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25"/>
        <v>0</v>
      </c>
      <c r="DS14" s="4">
        <f t="shared" si="26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27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28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29"/>
        <v>0</v>
      </c>
      <c r="FG14" s="4">
        <f t="shared" si="30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31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32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33"/>
        <v>0</v>
      </c>
      <c r="GU14" s="4">
        <f t="shared" si="34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36"/>
        <v>0</v>
      </c>
      <c r="HI14" s="13">
        <f t="shared" si="35"/>
        <v>1316120.01</v>
      </c>
    </row>
    <row r="15" spans="1:218" x14ac:dyDescent="0.35">
      <c r="A15" s="5"/>
      <c r="B15" s="5"/>
      <c r="C15" s="5" t="s">
        <v>18</v>
      </c>
      <c r="D15" s="4">
        <v>291500</v>
      </c>
      <c r="E15" s="4">
        <v>291500</v>
      </c>
      <c r="F15" s="4">
        <v>291500</v>
      </c>
      <c r="G15" s="4">
        <v>291500</v>
      </c>
      <c r="H15" s="4">
        <v>291500</v>
      </c>
      <c r="I15" s="4">
        <v>291500</v>
      </c>
      <c r="J15" s="37">
        <f>72840+303640</f>
        <v>376480</v>
      </c>
      <c r="K15" s="4">
        <v>303640</v>
      </c>
      <c r="L15" s="4">
        <v>303640</v>
      </c>
      <c r="M15" s="4">
        <v>303640</v>
      </c>
      <c r="N15" s="4">
        <v>303640</v>
      </c>
      <c r="O15" s="4">
        <v>303640</v>
      </c>
      <c r="P15" s="4">
        <f t="shared" si="15"/>
        <v>3643680</v>
      </c>
      <c r="Q15" s="4">
        <v>6750</v>
      </c>
      <c r="R15" s="4">
        <v>6750</v>
      </c>
      <c r="S15" s="4">
        <v>6750</v>
      </c>
      <c r="T15" s="4">
        <v>6750</v>
      </c>
      <c r="U15" s="4">
        <v>6750</v>
      </c>
      <c r="V15" s="4">
        <f>6750+276.03</f>
        <v>7026.03</v>
      </c>
      <c r="W15" s="4">
        <v>6750</v>
      </c>
      <c r="X15" s="4">
        <v>6750</v>
      </c>
      <c r="Y15" s="4">
        <v>6750</v>
      </c>
      <c r="Z15" s="4">
        <v>6750</v>
      </c>
      <c r="AA15" s="4">
        <v>6750</v>
      </c>
      <c r="AB15" s="4">
        <v>6750</v>
      </c>
      <c r="AC15" s="4">
        <f t="shared" si="16"/>
        <v>81276.03</v>
      </c>
      <c r="AD15" s="4">
        <v>4150</v>
      </c>
      <c r="AE15" s="4">
        <v>4150</v>
      </c>
      <c r="AF15" s="4">
        <v>4150</v>
      </c>
      <c r="AG15" s="4">
        <v>4150</v>
      </c>
      <c r="AH15" s="4">
        <v>4150</v>
      </c>
      <c r="AI15" s="4">
        <v>4150</v>
      </c>
      <c r="AJ15" s="37">
        <f>912+4300</f>
        <v>5212</v>
      </c>
      <c r="AK15" s="4">
        <v>4300</v>
      </c>
      <c r="AL15" s="4">
        <v>4300</v>
      </c>
      <c r="AM15" s="4">
        <v>4300</v>
      </c>
      <c r="AN15" s="4">
        <v>4300</v>
      </c>
      <c r="AO15" s="4">
        <v>4300</v>
      </c>
      <c r="AP15" s="4">
        <f t="shared" si="17"/>
        <v>51612</v>
      </c>
      <c r="AQ15" s="4">
        <f t="shared" si="18"/>
        <v>3776568.03</v>
      </c>
      <c r="AR15" s="4">
        <v>123520</v>
      </c>
      <c r="AS15" s="4">
        <v>123520</v>
      </c>
      <c r="AT15" s="4">
        <v>123520</v>
      </c>
      <c r="AU15" s="4">
        <v>123520</v>
      </c>
      <c r="AV15" s="4">
        <v>123520</v>
      </c>
      <c r="AW15" s="4">
        <v>123520</v>
      </c>
      <c r="AX15" s="37">
        <f>21300+127070</f>
        <v>148370</v>
      </c>
      <c r="AY15" s="4">
        <v>127070</v>
      </c>
      <c r="AZ15" s="4">
        <v>127070</v>
      </c>
      <c r="BA15" s="4">
        <v>127070</v>
      </c>
      <c r="BB15" s="4">
        <v>127070</v>
      </c>
      <c r="BC15" s="4">
        <v>127070</v>
      </c>
      <c r="BD15" s="4">
        <f t="shared" si="19"/>
        <v>1524840</v>
      </c>
      <c r="BE15" s="4">
        <v>3000</v>
      </c>
      <c r="BF15" s="4">
        <v>3000</v>
      </c>
      <c r="BG15" s="4">
        <v>3000</v>
      </c>
      <c r="BH15" s="4">
        <v>3000</v>
      </c>
      <c r="BI15" s="4">
        <v>3000</v>
      </c>
      <c r="BJ15" s="4">
        <f>3000+122.68</f>
        <v>3122.68</v>
      </c>
      <c r="BK15" s="4">
        <v>3000</v>
      </c>
      <c r="BL15" s="4">
        <v>3000</v>
      </c>
      <c r="BM15" s="4">
        <v>3000</v>
      </c>
      <c r="BN15" s="4">
        <v>3000</v>
      </c>
      <c r="BO15" s="4">
        <v>3000</v>
      </c>
      <c r="BP15" s="4">
        <v>3000</v>
      </c>
      <c r="BQ15" s="4">
        <f t="shared" si="20"/>
        <v>36122.68</v>
      </c>
      <c r="BR15" s="4">
        <v>1137</v>
      </c>
      <c r="BS15" s="4">
        <v>1137</v>
      </c>
      <c r="BT15" s="4">
        <v>1137</v>
      </c>
      <c r="BU15" s="4">
        <v>1137</v>
      </c>
      <c r="BV15" s="4">
        <v>1137</v>
      </c>
      <c r="BW15" s="4">
        <v>1137</v>
      </c>
      <c r="BX15" s="37">
        <f>342+1194</f>
        <v>1536</v>
      </c>
      <c r="BY15" s="4">
        <v>1194</v>
      </c>
      <c r="BZ15" s="4">
        <v>1194</v>
      </c>
      <c r="CA15" s="4">
        <v>1194</v>
      </c>
      <c r="CB15" s="4">
        <v>1194</v>
      </c>
      <c r="CC15" s="4">
        <v>1194</v>
      </c>
      <c r="CD15" s="4">
        <f t="shared" si="21"/>
        <v>14328</v>
      </c>
      <c r="CE15" s="4">
        <f t="shared" si="22"/>
        <v>1575290.68</v>
      </c>
      <c r="CF15" s="4">
        <v>80390</v>
      </c>
      <c r="CG15" s="4">
        <v>80390</v>
      </c>
      <c r="CH15" s="4">
        <v>80390</v>
      </c>
      <c r="CI15" s="4">
        <v>80390</v>
      </c>
      <c r="CJ15" s="4">
        <v>80390</v>
      </c>
      <c r="CK15" s="4">
        <f>106640+26250</f>
        <v>132890</v>
      </c>
      <c r="CL15" s="37">
        <f>7980+107970</f>
        <v>115950</v>
      </c>
      <c r="CM15" s="4">
        <v>107970</v>
      </c>
      <c r="CN15" s="4">
        <v>107970</v>
      </c>
      <c r="CO15" s="4">
        <v>107970</v>
      </c>
      <c r="CP15" s="4">
        <v>107970</v>
      </c>
      <c r="CQ15" s="4">
        <v>107970</v>
      </c>
      <c r="CR15" s="4">
        <f t="shared" si="23"/>
        <v>1190640</v>
      </c>
      <c r="CS15" s="4">
        <v>2250</v>
      </c>
      <c r="CT15" s="4">
        <v>2250</v>
      </c>
      <c r="CU15" s="4">
        <v>2250</v>
      </c>
      <c r="CV15" s="4">
        <v>2250</v>
      </c>
      <c r="CW15" s="4">
        <v>2250</v>
      </c>
      <c r="CX15" s="4">
        <f>3000+92.01+750</f>
        <v>3842.01</v>
      </c>
      <c r="CY15" s="4">
        <v>3000</v>
      </c>
      <c r="CZ15" s="4">
        <v>3000</v>
      </c>
      <c r="DA15" s="4">
        <v>3000</v>
      </c>
      <c r="DB15" s="4">
        <v>3000</v>
      </c>
      <c r="DC15" s="4">
        <v>3000</v>
      </c>
      <c r="DD15" s="4">
        <v>3000</v>
      </c>
      <c r="DE15" s="4">
        <f t="shared" si="24"/>
        <v>33092.01</v>
      </c>
      <c r="DF15" s="4">
        <v>837</v>
      </c>
      <c r="DG15" s="4">
        <v>837</v>
      </c>
      <c r="DH15" s="4">
        <v>837</v>
      </c>
      <c r="DI15" s="4">
        <v>837</v>
      </c>
      <c r="DJ15" s="4">
        <v>837</v>
      </c>
      <c r="DK15" s="4">
        <v>837</v>
      </c>
      <c r="DL15" s="37">
        <f>240+877</f>
        <v>1117</v>
      </c>
      <c r="DM15" s="4">
        <v>877</v>
      </c>
      <c r="DN15" s="4">
        <v>877</v>
      </c>
      <c r="DO15" s="4">
        <v>877</v>
      </c>
      <c r="DP15" s="4">
        <v>877</v>
      </c>
      <c r="DQ15" s="4">
        <v>877</v>
      </c>
      <c r="DR15" s="4">
        <f t="shared" si="25"/>
        <v>10524</v>
      </c>
      <c r="DS15" s="4">
        <f t="shared" si="26"/>
        <v>1234256.01</v>
      </c>
      <c r="DT15" s="4">
        <v>209300</v>
      </c>
      <c r="DU15" s="4">
        <v>209300</v>
      </c>
      <c r="DV15" s="4">
        <v>209300</v>
      </c>
      <c r="DW15" s="4">
        <v>209300</v>
      </c>
      <c r="DX15" s="4">
        <v>209300</v>
      </c>
      <c r="DY15" s="4">
        <v>209300</v>
      </c>
      <c r="DZ15" s="37">
        <f>34380+215030</f>
        <v>249410</v>
      </c>
      <c r="EA15" s="4">
        <v>215030</v>
      </c>
      <c r="EB15" s="4">
        <v>215030</v>
      </c>
      <c r="EC15" s="4">
        <v>215030</v>
      </c>
      <c r="ED15" s="4">
        <v>215030</v>
      </c>
      <c r="EE15" s="4">
        <v>215030</v>
      </c>
      <c r="EF15" s="4">
        <f t="shared" si="27"/>
        <v>2580360</v>
      </c>
      <c r="EG15" s="4">
        <v>5250</v>
      </c>
      <c r="EH15" s="4">
        <v>5250</v>
      </c>
      <c r="EI15" s="4">
        <v>5250</v>
      </c>
      <c r="EJ15" s="4">
        <v>5250</v>
      </c>
      <c r="EK15" s="4">
        <v>5250</v>
      </c>
      <c r="EL15" s="4">
        <f>5250+214.69</f>
        <v>5464.69</v>
      </c>
      <c r="EM15" s="4">
        <v>5250</v>
      </c>
      <c r="EN15" s="4">
        <v>5250</v>
      </c>
      <c r="EO15" s="4">
        <v>5250</v>
      </c>
      <c r="EP15" s="4">
        <v>5250</v>
      </c>
      <c r="EQ15" s="4">
        <v>5250</v>
      </c>
      <c r="ER15" s="4">
        <v>5250</v>
      </c>
      <c r="ES15" s="4">
        <f t="shared" si="28"/>
        <v>63214.69</v>
      </c>
      <c r="ET15" s="4">
        <v>3666</v>
      </c>
      <c r="EU15" s="4">
        <v>3666</v>
      </c>
      <c r="EV15" s="4">
        <v>3666</v>
      </c>
      <c r="EW15" s="4">
        <v>3666</v>
      </c>
      <c r="EX15" s="4">
        <v>3666</v>
      </c>
      <c r="EY15" s="4">
        <v>3666</v>
      </c>
      <c r="EZ15" s="37">
        <f>492+3748</f>
        <v>4240</v>
      </c>
      <c r="FA15" s="4">
        <v>3748</v>
      </c>
      <c r="FB15" s="4">
        <v>3748</v>
      </c>
      <c r="FC15" s="4">
        <v>3748</v>
      </c>
      <c r="FD15" s="4">
        <v>3748</v>
      </c>
      <c r="FE15" s="4">
        <v>3748</v>
      </c>
      <c r="FF15" s="4">
        <f t="shared" si="29"/>
        <v>44976</v>
      </c>
      <c r="FG15" s="4">
        <f t="shared" si="30"/>
        <v>2688550.69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31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32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33"/>
        <v>0</v>
      </c>
      <c r="GU15" s="4">
        <f t="shared" si="34"/>
        <v>0</v>
      </c>
      <c r="GV15" s="4">
        <v>5600</v>
      </c>
      <c r="GW15" s="4">
        <v>5600</v>
      </c>
      <c r="GX15" s="4">
        <v>5600</v>
      </c>
      <c r="GY15" s="4">
        <v>5600</v>
      </c>
      <c r="GZ15" s="4">
        <v>5600</v>
      </c>
      <c r="HA15" s="4">
        <v>5600</v>
      </c>
      <c r="HB15" s="4">
        <v>5600</v>
      </c>
      <c r="HC15" s="4">
        <v>5600</v>
      </c>
      <c r="HD15" s="4">
        <v>5600</v>
      </c>
      <c r="HE15" s="4">
        <v>5600</v>
      </c>
      <c r="HF15" s="4">
        <v>5600</v>
      </c>
      <c r="HG15" s="4">
        <v>5600</v>
      </c>
      <c r="HH15" s="4">
        <f t="shared" si="36"/>
        <v>67200</v>
      </c>
      <c r="HI15" s="13">
        <f t="shared" si="35"/>
        <v>9341865.4100000001</v>
      </c>
    </row>
    <row r="16" spans="1:218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15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16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17"/>
        <v>0</v>
      </c>
      <c r="AQ16" s="4">
        <f t="shared" si="18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19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20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21"/>
        <v>0</v>
      </c>
      <c r="CE16" s="4">
        <f t="shared" si="22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23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24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25"/>
        <v>0</v>
      </c>
      <c r="DS16" s="4">
        <f t="shared" si="26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27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28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29"/>
        <v>0</v>
      </c>
      <c r="FG16" s="4">
        <f t="shared" si="30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31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32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33"/>
        <v>0</v>
      </c>
      <c r="GU16" s="4">
        <f t="shared" si="34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36"/>
        <v>0</v>
      </c>
      <c r="HI16" s="13">
        <f t="shared" si="35"/>
        <v>0</v>
      </c>
    </row>
    <row r="17" spans="1:218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15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16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17"/>
        <v>0</v>
      </c>
      <c r="AQ17" s="4">
        <f t="shared" si="18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19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20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21"/>
        <v>0</v>
      </c>
      <c r="CE17" s="4">
        <f t="shared" si="22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23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24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25"/>
        <v>0</v>
      </c>
      <c r="DS17" s="4">
        <f t="shared" si="26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27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28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29"/>
        <v>0</v>
      </c>
      <c r="FG17" s="4">
        <f t="shared" si="30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31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32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33"/>
        <v>0</v>
      </c>
      <c r="GU17" s="4">
        <f t="shared" si="34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36"/>
        <v>0</v>
      </c>
      <c r="HI17" s="13">
        <f t="shared" si="35"/>
        <v>0</v>
      </c>
    </row>
    <row r="18" spans="1:218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15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16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17"/>
        <v>0</v>
      </c>
      <c r="AQ18" s="4">
        <f t="shared" si="18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19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20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21"/>
        <v>0</v>
      </c>
      <c r="CE18" s="4">
        <f t="shared" si="22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23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24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25"/>
        <v>0</v>
      </c>
      <c r="DS18" s="4">
        <f t="shared" si="26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27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28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29"/>
        <v>0</v>
      </c>
      <c r="FG18" s="4">
        <f t="shared" si="30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31"/>
        <v>0</v>
      </c>
      <c r="FU18" s="4"/>
      <c r="FV18" s="4"/>
      <c r="FW18" s="4"/>
      <c r="FX18" s="4"/>
      <c r="FY18" s="4"/>
      <c r="FZ18" s="4"/>
      <c r="GA18" s="4">
        <v>1440</v>
      </c>
      <c r="GB18" s="4"/>
      <c r="GC18" s="4"/>
      <c r="GD18" s="4"/>
      <c r="GE18" s="4"/>
      <c r="GF18" s="4"/>
      <c r="GG18" s="4">
        <f t="shared" si="32"/>
        <v>1440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33"/>
        <v>0</v>
      </c>
      <c r="GU18" s="4">
        <f t="shared" si="34"/>
        <v>1440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36"/>
        <v>0</v>
      </c>
      <c r="HI18" s="13">
        <f t="shared" si="35"/>
        <v>1440</v>
      </c>
    </row>
    <row r="19" spans="1:218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15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16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17"/>
        <v>0</v>
      </c>
      <c r="AQ19" s="4">
        <f t="shared" si="18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19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20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21"/>
        <v>0</v>
      </c>
      <c r="CE19" s="4">
        <f t="shared" si="22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23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24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25"/>
        <v>0</v>
      </c>
      <c r="DS19" s="4">
        <f t="shared" si="26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27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28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29"/>
        <v>0</v>
      </c>
      <c r="FG19" s="4">
        <f t="shared" si="30"/>
        <v>0</v>
      </c>
      <c r="FH19" s="4">
        <v>113220</v>
      </c>
      <c r="FI19" s="4">
        <v>113220</v>
      </c>
      <c r="FJ19" s="4">
        <v>113220</v>
      </c>
      <c r="FK19" s="4">
        <v>113220</v>
      </c>
      <c r="FL19" s="4">
        <v>113220</v>
      </c>
      <c r="FM19" s="4">
        <v>113220</v>
      </c>
      <c r="FN19" s="37">
        <f>21660+116830</f>
        <v>138490</v>
      </c>
      <c r="FO19" s="4">
        <v>116830</v>
      </c>
      <c r="FP19" s="4">
        <v>116830</v>
      </c>
      <c r="FQ19" s="4">
        <v>116830</v>
      </c>
      <c r="FR19" s="4">
        <v>116830</v>
      </c>
      <c r="FS19" s="4">
        <v>116830</v>
      </c>
      <c r="FT19" s="4">
        <f t="shared" si="31"/>
        <v>1401960</v>
      </c>
      <c r="FU19" s="4">
        <v>3750</v>
      </c>
      <c r="FV19" s="4">
        <v>3750</v>
      </c>
      <c r="FW19" s="4">
        <v>3750</v>
      </c>
      <c r="FX19" s="4">
        <v>3750</v>
      </c>
      <c r="FY19" s="4">
        <v>3750</v>
      </c>
      <c r="FZ19" s="4">
        <f>3750+153.35</f>
        <v>3903.35</v>
      </c>
      <c r="GA19" s="4">
        <f>13880+3750</f>
        <v>17630</v>
      </c>
      <c r="GB19" s="4">
        <v>3750</v>
      </c>
      <c r="GC19" s="4">
        <v>3750</v>
      </c>
      <c r="GD19" s="4">
        <v>3750</v>
      </c>
      <c r="GE19" s="4">
        <v>3750</v>
      </c>
      <c r="GF19" s="4">
        <v>3750</v>
      </c>
      <c r="GG19" s="4">
        <f t="shared" si="32"/>
        <v>59033.35</v>
      </c>
      <c r="GH19" s="4">
        <v>2163</v>
      </c>
      <c r="GI19" s="4">
        <v>2163</v>
      </c>
      <c r="GJ19" s="4">
        <v>2163</v>
      </c>
      <c r="GK19" s="4">
        <v>2163</v>
      </c>
      <c r="GL19" s="4">
        <v>2163</v>
      </c>
      <c r="GM19" s="4">
        <v>2163</v>
      </c>
      <c r="GN19" s="37">
        <f>648+2272</f>
        <v>2920</v>
      </c>
      <c r="GO19" s="4">
        <v>2272</v>
      </c>
      <c r="GP19" s="4">
        <v>2272</v>
      </c>
      <c r="GQ19" s="4">
        <v>2272</v>
      </c>
      <c r="GR19" s="4">
        <v>2272</v>
      </c>
      <c r="GS19" s="4">
        <v>2272</v>
      </c>
      <c r="GT19" s="4">
        <f t="shared" si="33"/>
        <v>27258</v>
      </c>
      <c r="GU19" s="4">
        <f t="shared" si="34"/>
        <v>1488251.35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36"/>
        <v>0</v>
      </c>
      <c r="HI19" s="13">
        <f t="shared" si="35"/>
        <v>1488251.35</v>
      </c>
    </row>
    <row r="20" spans="1:218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15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16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17"/>
        <v>0</v>
      </c>
      <c r="AQ20" s="4">
        <f t="shared" si="18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19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20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21"/>
        <v>0</v>
      </c>
      <c r="CE20" s="4">
        <f t="shared" si="22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23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24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25"/>
        <v>0</v>
      </c>
      <c r="DS20" s="4">
        <f t="shared" si="26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27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28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29"/>
        <v>0</v>
      </c>
      <c r="FG20" s="4">
        <f t="shared" si="30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31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32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33"/>
        <v>0</v>
      </c>
      <c r="GU20" s="4">
        <f t="shared" si="34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36"/>
        <v>0</v>
      </c>
      <c r="HI20" s="13">
        <f t="shared" si="35"/>
        <v>0</v>
      </c>
    </row>
    <row r="21" spans="1:218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15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16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17"/>
        <v>0</v>
      </c>
      <c r="AQ21" s="4">
        <f t="shared" si="18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19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20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21"/>
        <v>0</v>
      </c>
      <c r="CE21" s="4">
        <f t="shared" si="22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23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24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25"/>
        <v>0</v>
      </c>
      <c r="DS21" s="4">
        <f t="shared" si="26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27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28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29"/>
        <v>0</v>
      </c>
      <c r="FG21" s="4">
        <f t="shared" si="30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31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32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33"/>
        <v>0</v>
      </c>
      <c r="GU21" s="4">
        <f t="shared" si="34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36"/>
        <v>0</v>
      </c>
      <c r="HI21" s="13">
        <f t="shared" si="35"/>
        <v>0</v>
      </c>
      <c r="HJ21" s="84">
        <f>SUM(HI14:HI21)</f>
        <v>12147676.77</v>
      </c>
    </row>
    <row r="22" spans="1:218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15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16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17"/>
        <v>0</v>
      </c>
      <c r="AQ22" s="4">
        <f t="shared" si="18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19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20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21"/>
        <v>0</v>
      </c>
      <c r="CE22" s="4">
        <f t="shared" si="22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23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24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25"/>
        <v>0</v>
      </c>
      <c r="DS22" s="4">
        <f t="shared" si="26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27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28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29"/>
        <v>0</v>
      </c>
      <c r="FG22" s="4">
        <f t="shared" si="30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31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32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33"/>
        <v>0</v>
      </c>
      <c r="GU22" s="4">
        <f t="shared" si="34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36"/>
        <v>0</v>
      </c>
      <c r="HI22" s="13">
        <f t="shared" si="35"/>
        <v>0</v>
      </c>
    </row>
    <row r="23" spans="1:218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15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16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17"/>
        <v>0</v>
      </c>
      <c r="AQ23" s="4">
        <f t="shared" si="18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19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20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21"/>
        <v>0</v>
      </c>
      <c r="CE23" s="4">
        <f t="shared" si="22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23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24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25"/>
        <v>0</v>
      </c>
      <c r="DS23" s="4">
        <f t="shared" si="26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27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28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29"/>
        <v>0</v>
      </c>
      <c r="FG23" s="4">
        <f t="shared" si="30"/>
        <v>0</v>
      </c>
      <c r="FH23" s="4">
        <v>67240</v>
      </c>
      <c r="FI23" s="4">
        <v>67240</v>
      </c>
      <c r="FJ23" s="4">
        <v>67240</v>
      </c>
      <c r="FK23" s="4">
        <v>67240</v>
      </c>
      <c r="FL23" s="4">
        <v>67240</v>
      </c>
      <c r="FM23" s="4">
        <v>67240</v>
      </c>
      <c r="FN23" s="37">
        <f>18420+70310</f>
        <v>88730</v>
      </c>
      <c r="FO23" s="4">
        <v>70310</v>
      </c>
      <c r="FP23" s="4">
        <v>70310</v>
      </c>
      <c r="FQ23" s="4">
        <v>70310</v>
      </c>
      <c r="FR23" s="4">
        <v>70310</v>
      </c>
      <c r="FS23" s="4">
        <v>70310</v>
      </c>
      <c r="FT23" s="4">
        <f t="shared" si="31"/>
        <v>843720</v>
      </c>
      <c r="FU23" s="4">
        <v>1500</v>
      </c>
      <c r="FV23" s="4">
        <v>1500</v>
      </c>
      <c r="FW23" s="4">
        <v>1500</v>
      </c>
      <c r="FX23" s="4">
        <v>1500</v>
      </c>
      <c r="FY23" s="4">
        <v>1500</v>
      </c>
      <c r="FZ23" s="4">
        <v>1500</v>
      </c>
      <c r="GA23" s="4">
        <v>1500</v>
      </c>
      <c r="GB23" s="4">
        <v>1500</v>
      </c>
      <c r="GC23" s="4">
        <v>1500</v>
      </c>
      <c r="GD23" s="4">
        <v>1500</v>
      </c>
      <c r="GE23" s="4">
        <v>1500</v>
      </c>
      <c r="GF23" s="4">
        <v>1500</v>
      </c>
      <c r="GG23" s="4">
        <f t="shared" si="32"/>
        <v>18000</v>
      </c>
      <c r="GH23" s="4">
        <v>1126</v>
      </c>
      <c r="GI23" s="4">
        <v>1126</v>
      </c>
      <c r="GJ23" s="4">
        <v>1126</v>
      </c>
      <c r="GK23" s="4">
        <v>1126</v>
      </c>
      <c r="GL23" s="4">
        <v>1126</v>
      </c>
      <c r="GM23" s="4">
        <v>1126</v>
      </c>
      <c r="GN23" s="37">
        <f>336+1183</f>
        <v>1519</v>
      </c>
      <c r="GO23" s="4">
        <v>1183</v>
      </c>
      <c r="GP23" s="4">
        <v>1183</v>
      </c>
      <c r="GQ23" s="4">
        <v>1183</v>
      </c>
      <c r="GR23" s="4">
        <v>1183</v>
      </c>
      <c r="GS23" s="4">
        <v>1183</v>
      </c>
      <c r="GT23" s="4">
        <f t="shared" si="33"/>
        <v>14190</v>
      </c>
      <c r="GU23" s="4">
        <f t="shared" si="34"/>
        <v>875910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36"/>
        <v>0</v>
      </c>
      <c r="HI23" s="13">
        <f t="shared" si="35"/>
        <v>875910</v>
      </c>
    </row>
    <row r="24" spans="1:218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15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16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17"/>
        <v>0</v>
      </c>
      <c r="AQ24" s="4">
        <f t="shared" si="18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19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20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21"/>
        <v>0</v>
      </c>
      <c r="CE24" s="4">
        <f t="shared" si="22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23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24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25"/>
        <v>0</v>
      </c>
      <c r="DS24" s="4">
        <f t="shared" si="26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27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28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29"/>
        <v>0</v>
      </c>
      <c r="FG24" s="4">
        <f t="shared" si="30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31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32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33"/>
        <v>0</v>
      </c>
      <c r="GU24" s="4">
        <f t="shared" si="34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36"/>
        <v>0</v>
      </c>
      <c r="HI24" s="13">
        <f t="shared" si="35"/>
        <v>0</v>
      </c>
    </row>
    <row r="25" spans="1:218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15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16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17"/>
        <v>0</v>
      </c>
      <c r="AQ25" s="4">
        <f t="shared" si="18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19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20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21"/>
        <v>0</v>
      </c>
      <c r="CE25" s="4">
        <f t="shared" si="22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23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24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25"/>
        <v>0</v>
      </c>
      <c r="DS25" s="4">
        <f t="shared" si="26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27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28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29"/>
        <v>0</v>
      </c>
      <c r="FG25" s="4">
        <f t="shared" si="30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31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32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33"/>
        <v>0</v>
      </c>
      <c r="GU25" s="4">
        <f t="shared" si="34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36"/>
        <v>0</v>
      </c>
      <c r="HI25" s="13">
        <f t="shared" si="35"/>
        <v>0</v>
      </c>
    </row>
    <row r="26" spans="1:218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15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16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17"/>
        <v>0</v>
      </c>
      <c r="AQ26" s="4">
        <f t="shared" si="18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19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20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21"/>
        <v>0</v>
      </c>
      <c r="CE26" s="4">
        <f t="shared" si="22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23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24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25"/>
        <v>0</v>
      </c>
      <c r="DS26" s="4">
        <f t="shared" si="26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27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28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29"/>
        <v>0</v>
      </c>
      <c r="FG26" s="4">
        <f t="shared" si="30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31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32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33"/>
        <v>0</v>
      </c>
      <c r="GU26" s="4">
        <f t="shared" si="34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36"/>
        <v>0</v>
      </c>
      <c r="HI26" s="13">
        <f t="shared" si="35"/>
        <v>0</v>
      </c>
    </row>
    <row r="27" spans="1:218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15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16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17"/>
        <v>0</v>
      </c>
      <c r="AQ27" s="4">
        <f t="shared" si="18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19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20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21"/>
        <v>0</v>
      </c>
      <c r="CE27" s="4">
        <f t="shared" si="22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23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24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25"/>
        <v>0</v>
      </c>
      <c r="DS27" s="4">
        <f t="shared" si="26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27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28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29"/>
        <v>0</v>
      </c>
      <c r="FG27" s="4">
        <f t="shared" si="30"/>
        <v>0</v>
      </c>
      <c r="FH27" s="4">
        <v>19650</v>
      </c>
      <c r="FI27" s="4">
        <v>19650</v>
      </c>
      <c r="FJ27" s="4">
        <f>16900+39150</f>
        <v>56050</v>
      </c>
      <c r="FK27" s="4">
        <v>39150</v>
      </c>
      <c r="FL27" s="4">
        <v>39150</v>
      </c>
      <c r="FM27" s="4">
        <v>39150</v>
      </c>
      <c r="FN27" s="37">
        <f>5940+40140</f>
        <v>46080</v>
      </c>
      <c r="FO27" s="4">
        <v>40140</v>
      </c>
      <c r="FP27" s="4">
        <v>40140</v>
      </c>
      <c r="FQ27" s="4">
        <v>40140</v>
      </c>
      <c r="FR27" s="4">
        <v>40140</v>
      </c>
      <c r="FS27" s="4">
        <v>40140</v>
      </c>
      <c r="FT27" s="4">
        <f t="shared" si="31"/>
        <v>459580</v>
      </c>
      <c r="FU27" s="4">
        <v>750</v>
      </c>
      <c r="FV27" s="4">
        <v>750</v>
      </c>
      <c r="FW27" s="4">
        <f>750+140.03+1500</f>
        <v>2390.0299999999997</v>
      </c>
      <c r="FX27" s="4">
        <v>1500</v>
      </c>
      <c r="FY27" s="4">
        <v>1500</v>
      </c>
      <c r="FZ27" s="4">
        <v>1500</v>
      </c>
      <c r="GA27" s="4">
        <v>1500</v>
      </c>
      <c r="GB27" s="4">
        <v>1500</v>
      </c>
      <c r="GC27" s="4">
        <v>1500</v>
      </c>
      <c r="GD27" s="4">
        <v>1500</v>
      </c>
      <c r="GE27" s="4">
        <v>1500</v>
      </c>
      <c r="GF27" s="4">
        <v>1500</v>
      </c>
      <c r="GG27" s="4">
        <f t="shared" si="32"/>
        <v>17390.03</v>
      </c>
      <c r="GH27" s="4">
        <v>0</v>
      </c>
      <c r="GI27" s="4">
        <v>0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4">
        <v>0</v>
      </c>
      <c r="GT27" s="4">
        <f t="shared" si="33"/>
        <v>0</v>
      </c>
      <c r="GU27" s="4">
        <f t="shared" si="34"/>
        <v>476970.03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36"/>
        <v>0</v>
      </c>
      <c r="HI27" s="13">
        <f t="shared" si="35"/>
        <v>476970.03</v>
      </c>
    </row>
    <row r="28" spans="1:218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15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16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17"/>
        <v>0</v>
      </c>
      <c r="AQ28" s="4">
        <f t="shared" si="18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19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20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21"/>
        <v>0</v>
      </c>
      <c r="CE28" s="4">
        <f t="shared" si="22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23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24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25"/>
        <v>0</v>
      </c>
      <c r="DS28" s="4">
        <f t="shared" si="26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27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28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29"/>
        <v>0</v>
      </c>
      <c r="FG28" s="4">
        <f t="shared" si="30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31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32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33"/>
        <v>0</v>
      </c>
      <c r="GU28" s="4">
        <f t="shared" si="34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36"/>
        <v>0</v>
      </c>
      <c r="HI28" s="13">
        <f t="shared" si="35"/>
        <v>0</v>
      </c>
    </row>
    <row r="29" spans="1:218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15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16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17"/>
        <v>0</v>
      </c>
      <c r="AQ29" s="4">
        <f t="shared" si="18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19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20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21"/>
        <v>0</v>
      </c>
      <c r="CE29" s="4">
        <f t="shared" si="22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23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24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25"/>
        <v>0</v>
      </c>
      <c r="DS29" s="4">
        <f t="shared" si="26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27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28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29"/>
        <v>0</v>
      </c>
      <c r="FG29" s="4">
        <f t="shared" si="30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31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32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33"/>
        <v>0</v>
      </c>
      <c r="GU29" s="4">
        <f t="shared" si="34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36"/>
        <v>0</v>
      </c>
      <c r="HI29" s="13">
        <f t="shared" si="35"/>
        <v>0</v>
      </c>
      <c r="HJ29" s="84">
        <f>SUM(HI22:HI29)</f>
        <v>1352880.03</v>
      </c>
    </row>
    <row r="30" spans="1:218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15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16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17"/>
        <v>0</v>
      </c>
      <c r="AQ30" s="4">
        <f t="shared" si="18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19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20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21"/>
        <v>0</v>
      </c>
      <c r="CE30" s="4">
        <f t="shared" si="22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23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24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25"/>
        <v>0</v>
      </c>
      <c r="DS30" s="4">
        <f t="shared" si="26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27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28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29"/>
        <v>0</v>
      </c>
      <c r="FG30" s="4">
        <f t="shared" si="30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31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32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33"/>
        <v>0</v>
      </c>
      <c r="GU30" s="4">
        <f t="shared" si="34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36"/>
        <v>0</v>
      </c>
      <c r="HI30" s="13">
        <f t="shared" si="35"/>
        <v>0</v>
      </c>
    </row>
    <row r="31" spans="1:218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15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16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17"/>
        <v>0</v>
      </c>
      <c r="AQ31" s="4">
        <f t="shared" si="18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19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20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21"/>
        <v>0</v>
      </c>
      <c r="CE31" s="4">
        <f t="shared" si="22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23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24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25"/>
        <v>0</v>
      </c>
      <c r="DS31" s="4">
        <f t="shared" si="26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27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28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29"/>
        <v>0</v>
      </c>
      <c r="FG31" s="4">
        <f t="shared" si="30"/>
        <v>0</v>
      </c>
      <c r="FH31" s="4">
        <v>573940</v>
      </c>
      <c r="FI31" s="4">
        <v>573940</v>
      </c>
      <c r="FJ31" s="4">
        <v>573940</v>
      </c>
      <c r="FK31" s="4">
        <v>573940</v>
      </c>
      <c r="FL31" s="4">
        <v>573940</v>
      </c>
      <c r="FM31" s="4">
        <v>573940</v>
      </c>
      <c r="FN31" s="4">
        <v>602500</v>
      </c>
      <c r="FO31" s="4">
        <f>171360+602500</f>
        <v>773860</v>
      </c>
      <c r="FP31" s="4">
        <v>602500</v>
      </c>
      <c r="FQ31" s="4">
        <v>602500</v>
      </c>
      <c r="FR31" s="4">
        <v>602500</v>
      </c>
      <c r="FS31" s="4">
        <v>602500</v>
      </c>
      <c r="FT31" s="4">
        <f t="shared" si="31"/>
        <v>7230000</v>
      </c>
      <c r="FU31" s="4">
        <v>13500</v>
      </c>
      <c r="FV31" s="4">
        <v>13500</v>
      </c>
      <c r="FW31" s="4">
        <v>13500</v>
      </c>
      <c r="FX31" s="4">
        <v>13500</v>
      </c>
      <c r="FY31" s="4">
        <v>13500</v>
      </c>
      <c r="FZ31" s="4">
        <v>13500</v>
      </c>
      <c r="GA31" s="4">
        <v>13500</v>
      </c>
      <c r="GB31" s="4">
        <v>13500</v>
      </c>
      <c r="GC31" s="4">
        <v>13500</v>
      </c>
      <c r="GD31" s="4">
        <v>13500</v>
      </c>
      <c r="GE31" s="4">
        <v>13500</v>
      </c>
      <c r="GF31" s="4">
        <v>13500</v>
      </c>
      <c r="GG31" s="4">
        <f t="shared" si="32"/>
        <v>162000</v>
      </c>
      <c r="GH31" s="4">
        <v>14281</v>
      </c>
      <c r="GI31" s="4">
        <v>14281</v>
      </c>
      <c r="GJ31" s="4">
        <v>14281</v>
      </c>
      <c r="GK31" s="4">
        <v>14281</v>
      </c>
      <c r="GL31" s="4">
        <v>14281</v>
      </c>
      <c r="GM31" s="4">
        <v>14281</v>
      </c>
      <c r="GN31" s="4">
        <v>14992</v>
      </c>
      <c r="GO31" s="4">
        <f>4272+14992</f>
        <v>19264</v>
      </c>
      <c r="GP31" s="4">
        <v>14992</v>
      </c>
      <c r="GQ31" s="4">
        <v>14992</v>
      </c>
      <c r="GR31" s="4">
        <v>14992</v>
      </c>
      <c r="GS31" s="4">
        <v>14992</v>
      </c>
      <c r="GT31" s="4">
        <f t="shared" si="33"/>
        <v>179910</v>
      </c>
      <c r="GU31" s="4">
        <f t="shared" si="34"/>
        <v>7571910</v>
      </c>
      <c r="GV31" s="4">
        <v>39200</v>
      </c>
      <c r="GW31" s="4">
        <v>39200</v>
      </c>
      <c r="GX31" s="4">
        <v>39200</v>
      </c>
      <c r="GY31" s="4">
        <v>39200</v>
      </c>
      <c r="GZ31" s="4">
        <v>39200</v>
      </c>
      <c r="HA31" s="35">
        <f>89600+47148.39+16800+16800+16800+16800+39200</f>
        <v>243148.39</v>
      </c>
      <c r="HB31" s="4">
        <v>39200</v>
      </c>
      <c r="HC31" s="4">
        <v>39200</v>
      </c>
      <c r="HD31" s="4">
        <v>39200</v>
      </c>
      <c r="HE31" s="4">
        <v>44800</v>
      </c>
      <c r="HF31" s="4">
        <f>87612.9+44800</f>
        <v>132412.9</v>
      </c>
      <c r="HG31" s="4">
        <v>44800</v>
      </c>
      <c r="HH31" s="4">
        <f>SUM(GV31:HG31)</f>
        <v>778761.29</v>
      </c>
      <c r="HI31" s="13">
        <f t="shared" si="35"/>
        <v>8350671.29</v>
      </c>
    </row>
    <row r="32" spans="1:218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15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16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17"/>
        <v>0</v>
      </c>
      <c r="AQ32" s="4">
        <f t="shared" si="18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19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20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21"/>
        <v>0</v>
      </c>
      <c r="CE32" s="4">
        <f t="shared" si="22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23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24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25"/>
        <v>0</v>
      </c>
      <c r="DS32" s="4">
        <f t="shared" si="26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27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28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29"/>
        <v>0</v>
      </c>
      <c r="FG32" s="4">
        <f t="shared" si="30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31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32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33"/>
        <v>0</v>
      </c>
      <c r="GU32" s="4">
        <f t="shared" si="34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36"/>
        <v>0</v>
      </c>
      <c r="HI32" s="13">
        <f t="shared" si="35"/>
        <v>0</v>
      </c>
    </row>
    <row r="33" spans="1:218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15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16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17"/>
        <v>0</v>
      </c>
      <c r="AQ33" s="4">
        <f t="shared" si="18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19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20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21"/>
        <v>0</v>
      </c>
      <c r="CE33" s="4">
        <f t="shared" si="22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23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24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25"/>
        <v>0</v>
      </c>
      <c r="DS33" s="4">
        <f t="shared" si="26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27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28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29"/>
        <v>0</v>
      </c>
      <c r="FG33" s="4">
        <f t="shared" si="30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31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32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33"/>
        <v>0</v>
      </c>
      <c r="GU33" s="4">
        <f t="shared" si="34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36"/>
        <v>0</v>
      </c>
      <c r="HI33" s="13">
        <f t="shared" si="35"/>
        <v>0</v>
      </c>
    </row>
    <row r="34" spans="1:218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15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16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17"/>
        <v>0</v>
      </c>
      <c r="AQ34" s="4">
        <f t="shared" si="18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19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20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21"/>
        <v>0</v>
      </c>
      <c r="CE34" s="4">
        <f t="shared" si="22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23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24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25"/>
        <v>0</v>
      </c>
      <c r="DS34" s="4">
        <f t="shared" si="26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27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28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29"/>
        <v>0</v>
      </c>
      <c r="FG34" s="4">
        <f t="shared" si="30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31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32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33"/>
        <v>0</v>
      </c>
      <c r="GU34" s="4">
        <f t="shared" si="34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36"/>
        <v>0</v>
      </c>
      <c r="HI34" s="13">
        <f t="shared" si="35"/>
        <v>0</v>
      </c>
    </row>
    <row r="35" spans="1:218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15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16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17"/>
        <v>0</v>
      </c>
      <c r="AQ35" s="4">
        <f t="shared" si="18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19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20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21"/>
        <v>0</v>
      </c>
      <c r="CE35" s="4">
        <f t="shared" si="22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23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24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25"/>
        <v>0</v>
      </c>
      <c r="DS35" s="4">
        <f t="shared" si="26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27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28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29"/>
        <v>0</v>
      </c>
      <c r="FG35" s="4">
        <f t="shared" si="30"/>
        <v>0</v>
      </c>
      <c r="FH35" s="4">
        <v>23920</v>
      </c>
      <c r="FI35" s="4">
        <v>23920</v>
      </c>
      <c r="FJ35" s="4">
        <v>23920</v>
      </c>
      <c r="FK35" s="7">
        <v>23920</v>
      </c>
      <c r="FL35" s="7">
        <v>23920</v>
      </c>
      <c r="FM35" s="7">
        <v>23920</v>
      </c>
      <c r="FN35" s="7">
        <v>25120</v>
      </c>
      <c r="FO35" s="4">
        <f>7200+25120</f>
        <v>32320</v>
      </c>
      <c r="FP35" s="7">
        <v>25120</v>
      </c>
      <c r="FQ35" s="7">
        <v>25120</v>
      </c>
      <c r="FR35" s="7">
        <v>25120</v>
      </c>
      <c r="FS35" s="7">
        <v>25120</v>
      </c>
      <c r="FT35" s="4">
        <f t="shared" si="31"/>
        <v>301440</v>
      </c>
      <c r="FU35" s="4">
        <v>750</v>
      </c>
      <c r="FV35" s="7">
        <v>750</v>
      </c>
      <c r="FW35" s="7">
        <v>750</v>
      </c>
      <c r="FX35" s="7">
        <v>750</v>
      </c>
      <c r="FY35" s="7">
        <v>750</v>
      </c>
      <c r="FZ35" s="7">
        <v>750</v>
      </c>
      <c r="GA35" s="7">
        <v>750</v>
      </c>
      <c r="GB35" s="7">
        <v>750</v>
      </c>
      <c r="GC35" s="7">
        <v>750</v>
      </c>
      <c r="GD35" s="7">
        <v>750</v>
      </c>
      <c r="GE35" s="7">
        <v>750</v>
      </c>
      <c r="GF35" s="7">
        <v>750</v>
      </c>
      <c r="GG35" s="4">
        <f t="shared" si="32"/>
        <v>9000</v>
      </c>
      <c r="GH35" s="7">
        <v>0</v>
      </c>
      <c r="GI35" s="7">
        <v>0</v>
      </c>
      <c r="GJ35" s="7">
        <v>0</v>
      </c>
      <c r="GK35" s="7">
        <v>0</v>
      </c>
      <c r="GL35" s="7">
        <v>0</v>
      </c>
      <c r="GM35" s="7">
        <v>0</v>
      </c>
      <c r="GN35" s="7">
        <v>0</v>
      </c>
      <c r="GO35" s="7">
        <v>0</v>
      </c>
      <c r="GP35" s="7">
        <v>0</v>
      </c>
      <c r="GQ35" s="7">
        <v>0</v>
      </c>
      <c r="GR35" s="7">
        <v>0</v>
      </c>
      <c r="GS35" s="7">
        <v>0</v>
      </c>
      <c r="GT35" s="4">
        <f t="shared" si="33"/>
        <v>0</v>
      </c>
      <c r="GU35" s="4">
        <f t="shared" si="34"/>
        <v>310440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36"/>
        <v>0</v>
      </c>
      <c r="HI35" s="13">
        <f t="shared" si="35"/>
        <v>310440</v>
      </c>
    </row>
    <row r="36" spans="1:218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15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16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17"/>
        <v>0</v>
      </c>
      <c r="AQ36" s="4">
        <f t="shared" si="18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19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20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21"/>
        <v>0</v>
      </c>
      <c r="CE36" s="4">
        <f t="shared" si="22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23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24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25"/>
        <v>0</v>
      </c>
      <c r="DS36" s="4">
        <f t="shared" si="26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27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28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29"/>
        <v>0</v>
      </c>
      <c r="FG36" s="4">
        <f t="shared" si="30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31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32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33"/>
        <v>0</v>
      </c>
      <c r="GU36" s="4">
        <f t="shared" si="34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36"/>
        <v>0</v>
      </c>
      <c r="HI36" s="13">
        <f t="shared" si="35"/>
        <v>0</v>
      </c>
    </row>
    <row r="37" spans="1:218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15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16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17"/>
        <v>0</v>
      </c>
      <c r="AQ37" s="4">
        <f t="shared" si="18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19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20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21"/>
        <v>0</v>
      </c>
      <c r="CE37" s="4">
        <f t="shared" si="22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23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24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25"/>
        <v>0</v>
      </c>
      <c r="DS37" s="4">
        <f t="shared" si="26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27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28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29"/>
        <v>0</v>
      </c>
      <c r="FG37" s="4">
        <f t="shared" si="30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31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32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33"/>
        <v>0</v>
      </c>
      <c r="GU37" s="4">
        <f t="shared" si="34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36"/>
        <v>0</v>
      </c>
      <c r="HI37" s="13">
        <f t="shared" si="35"/>
        <v>0</v>
      </c>
      <c r="HJ37" s="84">
        <f>SUM(HI30:HI37)</f>
        <v>8661111.2899999991</v>
      </c>
    </row>
    <row r="38" spans="1:218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15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16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17"/>
        <v>0</v>
      </c>
      <c r="AQ38" s="4">
        <f t="shared" si="18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19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20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21"/>
        <v>0</v>
      </c>
      <c r="CE38" s="4">
        <f t="shared" si="22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23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24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25"/>
        <v>0</v>
      </c>
      <c r="DS38" s="4">
        <f t="shared" si="26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27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28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29"/>
        <v>0</v>
      </c>
      <c r="FG38" s="4">
        <f t="shared" si="30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31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32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33"/>
        <v>0</v>
      </c>
      <c r="GU38" s="4">
        <f t="shared" si="34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36"/>
        <v>0</v>
      </c>
      <c r="HI38" s="13">
        <f t="shared" si="35"/>
        <v>0</v>
      </c>
    </row>
    <row r="39" spans="1:218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15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16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17"/>
        <v>0</v>
      </c>
      <c r="AQ39" s="4">
        <f t="shared" si="18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19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20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21"/>
        <v>0</v>
      </c>
      <c r="CE39" s="4">
        <f t="shared" si="22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23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24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25"/>
        <v>0</v>
      </c>
      <c r="DS39" s="4">
        <f t="shared" si="26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27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28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29"/>
        <v>0</v>
      </c>
      <c r="FG39" s="4">
        <f t="shared" si="30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31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32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33"/>
        <v>0</v>
      </c>
      <c r="GU39" s="4">
        <f t="shared" si="34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36"/>
        <v>0</v>
      </c>
      <c r="HI39" s="13">
        <f t="shared" si="35"/>
        <v>0</v>
      </c>
    </row>
    <row r="40" spans="1:218" ht="21.75" thickBot="1" x14ac:dyDescent="0.4">
      <c r="A40" s="8"/>
      <c r="B40" s="8"/>
      <c r="C40" s="8"/>
      <c r="D40" s="9">
        <f>SUM(D6:D39)</f>
        <v>1212880</v>
      </c>
      <c r="E40" s="9">
        <f t="shared" ref="E40:O40" si="37">SUM(E6:E39)</f>
        <v>1212880</v>
      </c>
      <c r="F40" s="9">
        <f t="shared" si="37"/>
        <v>1212880</v>
      </c>
      <c r="G40" s="9">
        <f t="shared" si="37"/>
        <v>1263686.45</v>
      </c>
      <c r="H40" s="9">
        <f t="shared" si="37"/>
        <v>1239130</v>
      </c>
      <c r="I40" s="9">
        <f t="shared" si="37"/>
        <v>1239130</v>
      </c>
      <c r="J40" s="9">
        <f t="shared" si="37"/>
        <v>1607260</v>
      </c>
      <c r="K40" s="9">
        <f t="shared" si="37"/>
        <v>1291720</v>
      </c>
      <c r="L40" s="9">
        <f t="shared" si="37"/>
        <v>1291720</v>
      </c>
      <c r="M40" s="9">
        <f t="shared" si="37"/>
        <v>1291720</v>
      </c>
      <c r="N40" s="9">
        <f t="shared" si="37"/>
        <v>1267983.23</v>
      </c>
      <c r="O40" s="9">
        <f t="shared" si="37"/>
        <v>1261060</v>
      </c>
      <c r="P40" s="25">
        <f t="shared" si="15"/>
        <v>15392049.68</v>
      </c>
      <c r="Q40" s="9">
        <f>SUM(Q6:Q39)</f>
        <v>27750</v>
      </c>
      <c r="R40" s="9">
        <f t="shared" ref="R40:AB40" si="38">SUM(R6:R39)</f>
        <v>27750</v>
      </c>
      <c r="S40" s="9">
        <f t="shared" si="38"/>
        <v>27750</v>
      </c>
      <c r="T40" s="9">
        <f t="shared" si="38"/>
        <v>29250</v>
      </c>
      <c r="U40" s="9">
        <f t="shared" si="38"/>
        <v>28500</v>
      </c>
      <c r="V40" s="9">
        <f t="shared" si="38"/>
        <v>28868.04</v>
      </c>
      <c r="W40" s="9">
        <f t="shared" si="38"/>
        <v>28500</v>
      </c>
      <c r="X40" s="9">
        <f t="shared" si="38"/>
        <v>28500</v>
      </c>
      <c r="Y40" s="9">
        <f t="shared" si="38"/>
        <v>28500</v>
      </c>
      <c r="Z40" s="9">
        <f t="shared" si="38"/>
        <v>28500</v>
      </c>
      <c r="AA40" s="9">
        <f t="shared" si="38"/>
        <v>28096</v>
      </c>
      <c r="AB40" s="9">
        <f t="shared" si="38"/>
        <v>27750</v>
      </c>
      <c r="AC40" s="25">
        <f t="shared" si="16"/>
        <v>339714.04000000004</v>
      </c>
      <c r="AD40" s="9">
        <f>SUM(AD6:AD39)</f>
        <v>26521</v>
      </c>
      <c r="AE40" s="9">
        <f t="shared" ref="AE40:AO40" si="39">SUM(AE6:AE39)</f>
        <v>27479</v>
      </c>
      <c r="AF40" s="9">
        <f t="shared" si="39"/>
        <v>27479</v>
      </c>
      <c r="AG40" s="9">
        <f t="shared" si="39"/>
        <v>27479</v>
      </c>
      <c r="AH40" s="9">
        <f t="shared" si="39"/>
        <v>27479</v>
      </c>
      <c r="AI40" s="9">
        <f t="shared" si="39"/>
        <v>27479</v>
      </c>
      <c r="AJ40" s="9">
        <f t="shared" si="39"/>
        <v>36723</v>
      </c>
      <c r="AK40" s="9">
        <f t="shared" si="39"/>
        <v>29509</v>
      </c>
      <c r="AL40" s="9">
        <f t="shared" si="39"/>
        <v>29509</v>
      </c>
      <c r="AM40" s="9">
        <f t="shared" si="39"/>
        <v>29509</v>
      </c>
      <c r="AN40" s="9">
        <f t="shared" si="39"/>
        <v>28797</v>
      </c>
      <c r="AO40" s="9">
        <f t="shared" si="39"/>
        <v>28589</v>
      </c>
      <c r="AP40" s="25">
        <f t="shared" si="17"/>
        <v>346552</v>
      </c>
      <c r="AQ40" s="25">
        <f t="shared" si="18"/>
        <v>16078315.719999999</v>
      </c>
      <c r="AR40" s="9">
        <f>SUM(AR6:AR39)</f>
        <v>123520</v>
      </c>
      <c r="AS40" s="9">
        <f t="shared" ref="AS40:BC40" si="40">SUM(AS6:AS39)</f>
        <v>123520</v>
      </c>
      <c r="AT40" s="9">
        <f t="shared" si="40"/>
        <v>123520</v>
      </c>
      <c r="AU40" s="9">
        <f t="shared" si="40"/>
        <v>123520</v>
      </c>
      <c r="AV40" s="9">
        <f t="shared" si="40"/>
        <v>123520</v>
      </c>
      <c r="AW40" s="9">
        <f t="shared" si="40"/>
        <v>123520</v>
      </c>
      <c r="AX40" s="9">
        <f t="shared" si="40"/>
        <v>148370</v>
      </c>
      <c r="AY40" s="9">
        <f t="shared" si="40"/>
        <v>127070</v>
      </c>
      <c r="AZ40" s="9">
        <f t="shared" si="40"/>
        <v>127070</v>
      </c>
      <c r="BA40" s="9">
        <f t="shared" si="40"/>
        <v>127070</v>
      </c>
      <c r="BB40" s="9">
        <f t="shared" si="40"/>
        <v>127070</v>
      </c>
      <c r="BC40" s="9">
        <f t="shared" si="40"/>
        <v>127070</v>
      </c>
      <c r="BD40" s="25">
        <f t="shared" si="19"/>
        <v>1524840</v>
      </c>
      <c r="BE40" s="9">
        <f>SUM(BE6:BE39)</f>
        <v>3000</v>
      </c>
      <c r="BF40" s="9">
        <f t="shared" ref="BF40:BP40" si="41">SUM(BF6:BF39)</f>
        <v>3000</v>
      </c>
      <c r="BG40" s="9">
        <f t="shared" si="41"/>
        <v>3000</v>
      </c>
      <c r="BH40" s="9">
        <f t="shared" si="41"/>
        <v>3000</v>
      </c>
      <c r="BI40" s="9">
        <f t="shared" si="41"/>
        <v>3000</v>
      </c>
      <c r="BJ40" s="9">
        <f t="shared" si="41"/>
        <v>3122.68</v>
      </c>
      <c r="BK40" s="9">
        <f t="shared" si="41"/>
        <v>3000</v>
      </c>
      <c r="BL40" s="9">
        <f t="shared" si="41"/>
        <v>3000</v>
      </c>
      <c r="BM40" s="9">
        <f t="shared" si="41"/>
        <v>3000</v>
      </c>
      <c r="BN40" s="9">
        <f t="shared" si="41"/>
        <v>3000</v>
      </c>
      <c r="BO40" s="9">
        <f t="shared" si="41"/>
        <v>3000</v>
      </c>
      <c r="BP40" s="9">
        <f t="shared" si="41"/>
        <v>3000</v>
      </c>
      <c r="BQ40" s="25">
        <f t="shared" si="20"/>
        <v>36122.68</v>
      </c>
      <c r="BR40" s="9">
        <f>SUM(BR6:BR39)</f>
        <v>1137</v>
      </c>
      <c r="BS40" s="9">
        <f t="shared" ref="BS40:CC40" si="42">SUM(BS6:BS39)</f>
        <v>1137</v>
      </c>
      <c r="BT40" s="9">
        <f t="shared" si="42"/>
        <v>1137</v>
      </c>
      <c r="BU40" s="9">
        <f t="shared" si="42"/>
        <v>1137</v>
      </c>
      <c r="BV40" s="9">
        <f t="shared" si="42"/>
        <v>1137</v>
      </c>
      <c r="BW40" s="9">
        <f t="shared" si="42"/>
        <v>1137</v>
      </c>
      <c r="BX40" s="9">
        <f t="shared" si="42"/>
        <v>1536</v>
      </c>
      <c r="BY40" s="9">
        <f t="shared" si="42"/>
        <v>1194</v>
      </c>
      <c r="BZ40" s="9">
        <f t="shared" si="42"/>
        <v>1194</v>
      </c>
      <c r="CA40" s="9">
        <f t="shared" si="42"/>
        <v>1194</v>
      </c>
      <c r="CB40" s="9">
        <f t="shared" si="42"/>
        <v>1194</v>
      </c>
      <c r="CC40" s="9">
        <f t="shared" si="42"/>
        <v>1194</v>
      </c>
      <c r="CD40" s="25">
        <f t="shared" si="21"/>
        <v>14328</v>
      </c>
      <c r="CE40" s="25">
        <f t="shared" si="22"/>
        <v>1575290.68</v>
      </c>
      <c r="CF40" s="9">
        <f>SUM(CF6:CF39)</f>
        <v>80390</v>
      </c>
      <c r="CG40" s="9">
        <f t="shared" ref="CG40:CQ40" si="43">SUM(CG6:CG39)</f>
        <v>80390</v>
      </c>
      <c r="CH40" s="9">
        <f t="shared" si="43"/>
        <v>80390</v>
      </c>
      <c r="CI40" s="9">
        <f t="shared" si="43"/>
        <v>80390</v>
      </c>
      <c r="CJ40" s="9">
        <f t="shared" si="43"/>
        <v>80390</v>
      </c>
      <c r="CK40" s="9">
        <f t="shared" si="43"/>
        <v>132890</v>
      </c>
      <c r="CL40" s="9">
        <f t="shared" si="43"/>
        <v>115950</v>
      </c>
      <c r="CM40" s="9">
        <f t="shared" si="43"/>
        <v>107970</v>
      </c>
      <c r="CN40" s="9">
        <f t="shared" si="43"/>
        <v>107970</v>
      </c>
      <c r="CO40" s="9">
        <f t="shared" si="43"/>
        <v>107970</v>
      </c>
      <c r="CP40" s="9">
        <f t="shared" si="43"/>
        <v>107970</v>
      </c>
      <c r="CQ40" s="9">
        <f t="shared" si="43"/>
        <v>107970</v>
      </c>
      <c r="CR40" s="25">
        <f t="shared" si="23"/>
        <v>1190640</v>
      </c>
      <c r="CS40" s="9">
        <f>SUM(CS6:CS39)</f>
        <v>2250</v>
      </c>
      <c r="CT40" s="9">
        <f t="shared" ref="CT40:DD40" si="44">SUM(CT6:CT39)</f>
        <v>2250</v>
      </c>
      <c r="CU40" s="9">
        <f t="shared" si="44"/>
        <v>2250</v>
      </c>
      <c r="CV40" s="9">
        <f t="shared" si="44"/>
        <v>2250</v>
      </c>
      <c r="CW40" s="9">
        <f t="shared" si="44"/>
        <v>2250</v>
      </c>
      <c r="CX40" s="9">
        <f t="shared" si="44"/>
        <v>3842.01</v>
      </c>
      <c r="CY40" s="9">
        <f t="shared" si="44"/>
        <v>3000</v>
      </c>
      <c r="CZ40" s="9">
        <f t="shared" si="44"/>
        <v>3000</v>
      </c>
      <c r="DA40" s="9">
        <f t="shared" si="44"/>
        <v>3000</v>
      </c>
      <c r="DB40" s="9">
        <f t="shared" si="44"/>
        <v>3000</v>
      </c>
      <c r="DC40" s="9">
        <f t="shared" si="44"/>
        <v>3000</v>
      </c>
      <c r="DD40" s="9">
        <f t="shared" si="44"/>
        <v>3000</v>
      </c>
      <c r="DE40" s="25">
        <f t="shared" si="24"/>
        <v>33092.01</v>
      </c>
      <c r="DF40" s="9">
        <f>SUM(DF6:DF39)</f>
        <v>837</v>
      </c>
      <c r="DG40" s="9">
        <f t="shared" ref="DG40:DQ40" si="45">SUM(DG6:DG39)</f>
        <v>837</v>
      </c>
      <c r="DH40" s="9">
        <f t="shared" si="45"/>
        <v>837</v>
      </c>
      <c r="DI40" s="9">
        <f t="shared" si="45"/>
        <v>837</v>
      </c>
      <c r="DJ40" s="9">
        <f t="shared" si="45"/>
        <v>837</v>
      </c>
      <c r="DK40" s="9">
        <f t="shared" si="45"/>
        <v>837</v>
      </c>
      <c r="DL40" s="9">
        <f t="shared" si="45"/>
        <v>1117</v>
      </c>
      <c r="DM40" s="9">
        <f t="shared" si="45"/>
        <v>877</v>
      </c>
      <c r="DN40" s="9">
        <f t="shared" si="45"/>
        <v>877</v>
      </c>
      <c r="DO40" s="9">
        <f t="shared" si="45"/>
        <v>877</v>
      </c>
      <c r="DP40" s="9">
        <f t="shared" si="45"/>
        <v>877</v>
      </c>
      <c r="DQ40" s="9">
        <f t="shared" si="45"/>
        <v>877</v>
      </c>
      <c r="DR40" s="25">
        <f t="shared" si="25"/>
        <v>10524</v>
      </c>
      <c r="DS40" s="25">
        <f t="shared" si="26"/>
        <v>1234256.01</v>
      </c>
      <c r="DT40" s="9">
        <f>SUM(DT6:DT39)</f>
        <v>209300</v>
      </c>
      <c r="DU40" s="9">
        <f t="shared" ref="DU40:EE40" si="46">SUM(DU6:DU39)</f>
        <v>209300</v>
      </c>
      <c r="DV40" s="9">
        <f t="shared" si="46"/>
        <v>209300</v>
      </c>
      <c r="DW40" s="9">
        <f t="shared" si="46"/>
        <v>209300</v>
      </c>
      <c r="DX40" s="9">
        <f t="shared" si="46"/>
        <v>209300</v>
      </c>
      <c r="DY40" s="9">
        <f t="shared" si="46"/>
        <v>209300</v>
      </c>
      <c r="DZ40" s="9">
        <f t="shared" si="46"/>
        <v>249410</v>
      </c>
      <c r="EA40" s="9">
        <f t="shared" si="46"/>
        <v>215030</v>
      </c>
      <c r="EB40" s="9">
        <f t="shared" si="46"/>
        <v>215030</v>
      </c>
      <c r="EC40" s="9">
        <f t="shared" si="46"/>
        <v>215030</v>
      </c>
      <c r="ED40" s="9">
        <f t="shared" si="46"/>
        <v>215030</v>
      </c>
      <c r="EE40" s="9">
        <f t="shared" si="46"/>
        <v>215030</v>
      </c>
      <c r="EF40" s="25">
        <f t="shared" si="27"/>
        <v>2580360</v>
      </c>
      <c r="EG40" s="9">
        <f>SUM(EG6:EG39)</f>
        <v>5250</v>
      </c>
      <c r="EH40" s="9">
        <f t="shared" ref="EH40:ER40" si="47">SUM(EH6:EH39)</f>
        <v>5250</v>
      </c>
      <c r="EI40" s="9">
        <f t="shared" si="47"/>
        <v>5250</v>
      </c>
      <c r="EJ40" s="9">
        <f t="shared" si="47"/>
        <v>5250</v>
      </c>
      <c r="EK40" s="9">
        <f t="shared" si="47"/>
        <v>5250</v>
      </c>
      <c r="EL40" s="9">
        <f t="shared" si="47"/>
        <v>5464.69</v>
      </c>
      <c r="EM40" s="9">
        <f t="shared" si="47"/>
        <v>5250</v>
      </c>
      <c r="EN40" s="9">
        <f t="shared" si="47"/>
        <v>5250</v>
      </c>
      <c r="EO40" s="9">
        <f t="shared" si="47"/>
        <v>5250</v>
      </c>
      <c r="EP40" s="9">
        <f t="shared" si="47"/>
        <v>5250</v>
      </c>
      <c r="EQ40" s="9">
        <f t="shared" si="47"/>
        <v>5250</v>
      </c>
      <c r="ER40" s="9">
        <f t="shared" si="47"/>
        <v>5250</v>
      </c>
      <c r="ES40" s="25">
        <f t="shared" si="28"/>
        <v>63214.69</v>
      </c>
      <c r="ET40" s="9">
        <f>SUM(ET6:ET39)</f>
        <v>3666</v>
      </c>
      <c r="EU40" s="9">
        <f t="shared" ref="EU40:FE40" si="48">SUM(EU6:EU39)</f>
        <v>3666</v>
      </c>
      <c r="EV40" s="9">
        <f t="shared" si="48"/>
        <v>3666</v>
      </c>
      <c r="EW40" s="9">
        <f t="shared" si="48"/>
        <v>3666</v>
      </c>
      <c r="EX40" s="9">
        <f t="shared" si="48"/>
        <v>3666</v>
      </c>
      <c r="EY40" s="9">
        <f t="shared" si="48"/>
        <v>3666</v>
      </c>
      <c r="EZ40" s="9">
        <f t="shared" si="48"/>
        <v>4240</v>
      </c>
      <c r="FA40" s="9">
        <f t="shared" si="48"/>
        <v>3748</v>
      </c>
      <c r="FB40" s="9">
        <f t="shared" si="48"/>
        <v>3748</v>
      </c>
      <c r="FC40" s="9">
        <f t="shared" si="48"/>
        <v>3748</v>
      </c>
      <c r="FD40" s="9">
        <f t="shared" si="48"/>
        <v>3748</v>
      </c>
      <c r="FE40" s="9">
        <f t="shared" si="48"/>
        <v>3748</v>
      </c>
      <c r="FF40" s="25">
        <f t="shared" si="29"/>
        <v>44976</v>
      </c>
      <c r="FG40" s="25">
        <f t="shared" si="30"/>
        <v>2688550.69</v>
      </c>
      <c r="FH40" s="9">
        <f>SUM(FH6:FH39)</f>
        <v>960487</v>
      </c>
      <c r="FI40" s="9">
        <f t="shared" ref="FI40:FS40" si="49">SUM(FI6:FI39)</f>
        <v>989580</v>
      </c>
      <c r="FJ40" s="9">
        <f t="shared" si="49"/>
        <v>1025980</v>
      </c>
      <c r="FK40" s="9">
        <f t="shared" si="49"/>
        <v>1009080</v>
      </c>
      <c r="FL40" s="9">
        <f t="shared" si="49"/>
        <v>1009080</v>
      </c>
      <c r="FM40" s="9">
        <f t="shared" si="49"/>
        <v>1009080</v>
      </c>
      <c r="FN40" s="9">
        <f t="shared" si="49"/>
        <v>1154597.42</v>
      </c>
      <c r="FO40" s="9">
        <f t="shared" si="49"/>
        <v>1234080</v>
      </c>
      <c r="FP40" s="9">
        <f t="shared" si="49"/>
        <v>1055540</v>
      </c>
      <c r="FQ40" s="9">
        <f t="shared" si="49"/>
        <v>1055520</v>
      </c>
      <c r="FR40" s="9">
        <f t="shared" si="49"/>
        <v>1055520</v>
      </c>
      <c r="FS40" s="9">
        <f t="shared" si="49"/>
        <v>1055520</v>
      </c>
      <c r="FT40" s="25">
        <f t="shared" si="31"/>
        <v>12614064.42</v>
      </c>
      <c r="FU40" s="9">
        <f>SUM(FU6:FU39)</f>
        <v>24156</v>
      </c>
      <c r="FV40" s="9">
        <f t="shared" ref="FV40:GF40" si="50">SUM(FV6:FV39)</f>
        <v>24750</v>
      </c>
      <c r="FW40" s="9">
        <f t="shared" si="50"/>
        <v>26390.03</v>
      </c>
      <c r="FX40" s="9">
        <f t="shared" si="50"/>
        <v>25500</v>
      </c>
      <c r="FY40" s="9">
        <f t="shared" si="50"/>
        <v>25500</v>
      </c>
      <c r="FZ40" s="9">
        <f t="shared" si="50"/>
        <v>25653.35</v>
      </c>
      <c r="GA40" s="9">
        <f t="shared" si="50"/>
        <v>40825</v>
      </c>
      <c r="GB40" s="9">
        <f t="shared" si="50"/>
        <v>25500</v>
      </c>
      <c r="GC40" s="9">
        <f t="shared" si="50"/>
        <v>25500</v>
      </c>
      <c r="GD40" s="9">
        <f t="shared" si="50"/>
        <v>25500</v>
      </c>
      <c r="GE40" s="9">
        <f t="shared" si="50"/>
        <v>25500</v>
      </c>
      <c r="GF40" s="9">
        <f t="shared" si="50"/>
        <v>25500</v>
      </c>
      <c r="GG40" s="25">
        <f t="shared" si="32"/>
        <v>320274.38</v>
      </c>
      <c r="GH40" s="9">
        <f>SUM(GH6:GH39)</f>
        <v>22446</v>
      </c>
      <c r="GI40" s="9">
        <f t="shared" ref="GI40:GS40" si="51">SUM(GI6:GI39)</f>
        <v>23318</v>
      </c>
      <c r="GJ40" s="9">
        <f t="shared" si="51"/>
        <v>23318</v>
      </c>
      <c r="GK40" s="9">
        <f t="shared" si="51"/>
        <v>23318</v>
      </c>
      <c r="GL40" s="9">
        <f t="shared" si="51"/>
        <v>23318</v>
      </c>
      <c r="GM40" s="9">
        <f t="shared" si="51"/>
        <v>23318</v>
      </c>
      <c r="GN40" s="9">
        <f t="shared" si="51"/>
        <v>27040</v>
      </c>
      <c r="GO40" s="9">
        <f t="shared" si="51"/>
        <v>28738</v>
      </c>
      <c r="GP40" s="9">
        <f t="shared" si="51"/>
        <v>24466</v>
      </c>
      <c r="GQ40" s="9">
        <f t="shared" si="51"/>
        <v>24466</v>
      </c>
      <c r="GR40" s="9">
        <f t="shared" si="51"/>
        <v>24466</v>
      </c>
      <c r="GS40" s="9">
        <f t="shared" si="51"/>
        <v>24466</v>
      </c>
      <c r="GT40" s="25">
        <f t="shared" si="33"/>
        <v>292678</v>
      </c>
      <c r="GU40" s="25">
        <f t="shared" si="34"/>
        <v>13227016.800000001</v>
      </c>
      <c r="GV40" s="9">
        <f>SUM(GV6:GV39)</f>
        <v>50400</v>
      </c>
      <c r="GW40" s="9">
        <f t="shared" ref="GW40:HG40" si="52">SUM(GW6:GW39)</f>
        <v>50400</v>
      </c>
      <c r="GX40" s="9">
        <f t="shared" si="52"/>
        <v>88666.67</v>
      </c>
      <c r="GY40" s="9">
        <f t="shared" si="52"/>
        <v>56000</v>
      </c>
      <c r="GZ40" s="9">
        <f t="shared" si="52"/>
        <v>56000</v>
      </c>
      <c r="HA40" s="9">
        <f t="shared" si="52"/>
        <v>259948.39</v>
      </c>
      <c r="HB40" s="9">
        <f t="shared" si="52"/>
        <v>56000</v>
      </c>
      <c r="HC40" s="9">
        <f t="shared" si="52"/>
        <v>56000</v>
      </c>
      <c r="HD40" s="9">
        <f t="shared" si="52"/>
        <v>56000</v>
      </c>
      <c r="HE40" s="9">
        <f t="shared" si="52"/>
        <v>61600</v>
      </c>
      <c r="HF40" s="9">
        <f t="shared" si="52"/>
        <v>263380.64</v>
      </c>
      <c r="HG40" s="9">
        <f t="shared" si="52"/>
        <v>67200</v>
      </c>
      <c r="HH40" s="25">
        <f t="shared" si="36"/>
        <v>1121595.7000000002</v>
      </c>
      <c r="HI40" s="26">
        <f>+AQ40+CE40+DS40+FG40+GU40+HH40</f>
        <v>35925025.600000009</v>
      </c>
      <c r="HJ40" s="3">
        <f>SUM(HJ6:HJ39)</f>
        <v>35925025.600000001</v>
      </c>
    </row>
    <row r="41" spans="1:218" ht="21.75" hidden="1" thickTop="1" x14ac:dyDescent="0.35"/>
    <row r="42" spans="1:218" hidden="1" x14ac:dyDescent="0.35">
      <c r="A42" s="1" t="s">
        <v>301</v>
      </c>
    </row>
    <row r="43" spans="1:218" hidden="1" x14ac:dyDescent="0.35">
      <c r="A43" s="71" t="s">
        <v>297</v>
      </c>
      <c r="G43" s="3">
        <v>24556.45</v>
      </c>
      <c r="J43" s="3">
        <f>222600+20100+72840</f>
        <v>315540</v>
      </c>
      <c r="T43" s="3">
        <v>750</v>
      </c>
      <c r="AJ43" s="3">
        <f>5696+606+912</f>
        <v>7214</v>
      </c>
      <c r="AX43" s="3">
        <v>21300</v>
      </c>
      <c r="BX43" s="3">
        <v>342</v>
      </c>
      <c r="CK43" s="3">
        <v>26250</v>
      </c>
      <c r="CL43" s="3">
        <v>7980</v>
      </c>
      <c r="CX43" s="3">
        <v>750</v>
      </c>
      <c r="DL43" s="3">
        <v>240</v>
      </c>
      <c r="DZ43" s="3">
        <v>34380</v>
      </c>
      <c r="EZ43" s="3">
        <v>492</v>
      </c>
      <c r="FJ43" s="3">
        <v>16900</v>
      </c>
      <c r="FN43" s="3">
        <f>21660+18420+5940+38477.42+14580</f>
        <v>99077.42</v>
      </c>
      <c r="FW43" s="3">
        <v>750</v>
      </c>
      <c r="GA43" s="3">
        <v>5</v>
      </c>
      <c r="GN43" s="3">
        <f>648+336+1152+438</f>
        <v>2574</v>
      </c>
      <c r="GX43" s="1">
        <f>21466.67+11200</f>
        <v>32666.67</v>
      </c>
      <c r="HF43" s="1">
        <v>114167.74</v>
      </c>
    </row>
    <row r="44" spans="1:218" hidden="1" x14ac:dyDescent="0.35">
      <c r="A44" s="1" t="s">
        <v>302</v>
      </c>
    </row>
    <row r="45" spans="1:218" hidden="1" x14ac:dyDescent="0.35">
      <c r="A45" s="1" t="s">
        <v>298</v>
      </c>
      <c r="FO45" s="3">
        <f>171360+7200</f>
        <v>178560</v>
      </c>
      <c r="GO45" s="3">
        <v>4272</v>
      </c>
      <c r="HA45" s="1">
        <f>89600+47148.39+16800+16800+16800+16800</f>
        <v>203948.39</v>
      </c>
      <c r="HF45" s="1">
        <v>87612.9</v>
      </c>
    </row>
    <row r="46" spans="1:218" hidden="1" x14ac:dyDescent="0.35">
      <c r="A46" s="1" t="s">
        <v>364</v>
      </c>
      <c r="V46" s="3">
        <f>92.01+276.03</f>
        <v>368.03999999999996</v>
      </c>
      <c r="BJ46" s="3">
        <v>122.68</v>
      </c>
      <c r="CX46" s="3">
        <v>92.01</v>
      </c>
      <c r="EL46" s="3">
        <v>214.69</v>
      </c>
      <c r="FW46" s="3">
        <v>140.03</v>
      </c>
      <c r="FZ46" s="3">
        <v>153.35</v>
      </c>
      <c r="GA46" s="3">
        <f>1440+13880</f>
        <v>15320</v>
      </c>
    </row>
    <row r="47" spans="1:218" hidden="1" x14ac:dyDescent="0.35">
      <c r="A47" s="53" t="s">
        <v>115</v>
      </c>
    </row>
    <row r="48" spans="1:218" hidden="1" x14ac:dyDescent="0.35"/>
    <row r="49" hidden="1" x14ac:dyDescent="0.35"/>
    <row r="50" ht="21.75" thickTop="1" x14ac:dyDescent="0.35"/>
  </sheetData>
  <mergeCells count="31">
    <mergeCell ref="HI3:HI4"/>
    <mergeCell ref="AR4:BD4"/>
    <mergeCell ref="BE4:BQ4"/>
    <mergeCell ref="BR4:CD4"/>
    <mergeCell ref="CF4:CR4"/>
    <mergeCell ref="CS4:DE4"/>
    <mergeCell ref="DF4:DR4"/>
    <mergeCell ref="DT4:EF4"/>
    <mergeCell ref="EG4:ES4"/>
    <mergeCell ref="ET4:FF4"/>
    <mergeCell ref="FH4:FT4"/>
    <mergeCell ref="FU4:GG4"/>
    <mergeCell ref="GH4:GT4"/>
    <mergeCell ref="GV3:HH3"/>
    <mergeCell ref="GV4:HH4"/>
    <mergeCell ref="AR3:CE3"/>
    <mergeCell ref="CF3:DS3"/>
    <mergeCell ref="DT3:FG3"/>
    <mergeCell ref="FH3:GU3"/>
    <mergeCell ref="A1:E1"/>
    <mergeCell ref="A3:A4"/>
    <mergeCell ref="B3:B4"/>
    <mergeCell ref="D3:AQ3"/>
    <mergeCell ref="D4:P4"/>
    <mergeCell ref="Q4:AC4"/>
    <mergeCell ref="AD4:AP4"/>
    <mergeCell ref="AQ4:AQ5"/>
    <mergeCell ref="CE4:CE5"/>
    <mergeCell ref="DS4:DS5"/>
    <mergeCell ref="FG4:FG5"/>
    <mergeCell ref="GU4:GU5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S49"/>
  <sheetViews>
    <sheetView showGridLines="0" zoomScale="70" zoomScaleNormal="70" workbookViewId="0">
      <pane xSplit="3" ySplit="6" topLeftCell="WD34" activePane="bottomRight" state="frozen"/>
      <selection pane="topRight" activeCell="D1" sqref="D1"/>
      <selection pane="bottomLeft" activeCell="A7" sqref="A7"/>
      <selection pane="bottomRight" activeCell="A42" sqref="A42:XFD49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1.125" style="1" hidden="1" customWidth="1"/>
    <col min="29" max="29" width="11.25" style="1" bestFit="1" customWidth="1"/>
    <col min="30" max="30" width="7.375" style="1" hidden="1" customWidth="1"/>
    <col min="31" max="31" width="7.875" style="1" hidden="1" customWidth="1"/>
    <col min="32" max="32" width="7.375" style="1" hidden="1" customWidth="1"/>
    <col min="33" max="33" width="9.75" style="1" hidden="1" customWidth="1"/>
    <col min="34" max="34" width="7.875" style="1" hidden="1" customWidth="1"/>
    <col min="35" max="35" width="7.375" style="1" hidden="1" customWidth="1"/>
    <col min="36" max="37" width="9.25" style="1" hidden="1" customWidth="1"/>
    <col min="38" max="41" width="11.125" style="1" hidden="1" customWidth="1"/>
    <col min="42" max="42" width="10.125" style="1" bestFit="1" customWidth="1"/>
    <col min="43" max="43" width="14.125" style="1" bestFit="1" customWidth="1"/>
    <col min="44" max="55" width="13.875" style="1" hidden="1" customWidth="1"/>
    <col min="56" max="56" width="14.125" style="1" bestFit="1" customWidth="1"/>
    <col min="57" max="68" width="11.125" style="1" hidden="1" customWidth="1"/>
    <col min="69" max="69" width="11.25" style="1" bestFit="1" customWidth="1"/>
    <col min="70" max="81" width="11.125" style="1" hidden="1" customWidth="1"/>
    <col min="82" max="82" width="11.25" style="1" bestFit="1" customWidth="1"/>
    <col min="83" max="83" width="14.125" style="1" bestFit="1" customWidth="1"/>
    <col min="84" max="95" width="12.375" style="1" hidden="1" customWidth="1"/>
    <col min="96" max="96" width="12.375" style="1" bestFit="1" customWidth="1"/>
    <col min="97" max="108" width="11.125" style="1" hidden="1" customWidth="1"/>
    <col min="109" max="109" width="11.25" style="1" bestFit="1" customWidth="1"/>
    <col min="110" max="115" width="9.25" style="1" hidden="1" customWidth="1"/>
    <col min="116" max="116" width="11.125" style="1" hidden="1" customWidth="1"/>
    <col min="117" max="121" width="9.25" style="1" hidden="1" customWidth="1"/>
    <col min="122" max="122" width="11.25" style="1" bestFit="1" customWidth="1"/>
    <col min="123" max="123" width="12.375" style="1" bestFit="1" customWidth="1"/>
    <col min="124" max="135" width="13.875" style="1" hidden="1" customWidth="1"/>
    <col min="136" max="136" width="14.125" style="1" bestFit="1" customWidth="1"/>
    <col min="137" max="148" width="11.125" style="1" hidden="1" customWidth="1"/>
    <col min="149" max="149" width="11.25" style="1" bestFit="1" customWidth="1"/>
    <col min="150" max="150" width="7.375" style="1" hidden="1" customWidth="1"/>
    <col min="151" max="151" width="7.875" style="1" hidden="1" customWidth="1"/>
    <col min="152" max="155" width="9.25" style="1" hidden="1" customWidth="1"/>
    <col min="156" max="161" width="11.125" style="1" hidden="1" customWidth="1"/>
    <col min="162" max="162" width="11.25" style="1" bestFit="1" customWidth="1"/>
    <col min="163" max="163" width="14.125" style="1" bestFit="1" customWidth="1"/>
    <col min="164" max="169" width="12.375" style="1" hidden="1" customWidth="1"/>
    <col min="170" max="170" width="13.875" style="1" hidden="1" customWidth="1"/>
    <col min="171" max="175" width="12.375" style="1" hidden="1" customWidth="1"/>
    <col min="176" max="176" width="14.125" style="1" bestFit="1" customWidth="1"/>
    <col min="177" max="188" width="11.125" style="1" hidden="1" customWidth="1"/>
    <col min="189" max="189" width="11.25" style="1" bestFit="1" customWidth="1"/>
    <col min="190" max="190" width="7.375" style="1" hidden="1" customWidth="1"/>
    <col min="191" max="191" width="7.875" style="1" hidden="1" customWidth="1"/>
    <col min="192" max="193" width="7.375" style="1" hidden="1" customWidth="1"/>
    <col min="194" max="194" width="7.875" style="1" hidden="1" customWidth="1"/>
    <col min="195" max="195" width="7.375" style="1" hidden="1" customWidth="1"/>
    <col min="196" max="196" width="8.125" style="1" hidden="1" customWidth="1"/>
    <col min="197" max="197" width="7.875" style="1" hidden="1" customWidth="1"/>
    <col min="198" max="201" width="11.125" style="1" hidden="1" customWidth="1"/>
    <col min="202" max="202" width="10.125" style="1" bestFit="1" customWidth="1"/>
    <col min="203" max="203" width="14.125" style="1" bestFit="1" customWidth="1"/>
    <col min="204" max="212" width="12.375" style="1" hidden="1" customWidth="1"/>
    <col min="213" max="213" width="13.875" style="1" hidden="1" customWidth="1"/>
    <col min="214" max="215" width="12.375" style="1" hidden="1" customWidth="1"/>
    <col min="216" max="216" width="14.125" style="1" bestFit="1" customWidth="1"/>
    <col min="217" max="228" width="11.125" style="1" hidden="1" customWidth="1"/>
    <col min="229" max="229" width="11.25" style="1" bestFit="1" customWidth="1"/>
    <col min="230" max="241" width="11.125" style="1" hidden="1" customWidth="1"/>
    <col min="242" max="242" width="11.25" style="1" bestFit="1" customWidth="1"/>
    <col min="243" max="243" width="14.125" style="1" bestFit="1" customWidth="1"/>
    <col min="244" max="255" width="12.375" style="1" hidden="1" customWidth="1"/>
    <col min="256" max="256" width="12.375" style="1" bestFit="1" customWidth="1"/>
    <col min="257" max="268" width="11.125" style="1" hidden="1" customWidth="1"/>
    <col min="269" max="269" width="11.25" style="1" bestFit="1" customWidth="1"/>
    <col min="270" max="281" width="11.125" style="1" hidden="1" customWidth="1"/>
    <col min="282" max="282" width="11.25" style="1" bestFit="1" customWidth="1"/>
    <col min="283" max="283" width="12.375" style="1" bestFit="1" customWidth="1"/>
    <col min="284" max="295" width="13.875" style="1" hidden="1" customWidth="1"/>
    <col min="296" max="296" width="14.125" style="1" bestFit="1" customWidth="1"/>
    <col min="297" max="308" width="11.125" style="1" hidden="1" customWidth="1"/>
    <col min="309" max="309" width="11.25" style="1" bestFit="1" customWidth="1"/>
    <col min="310" max="310" width="7.375" style="1" hidden="1" customWidth="1"/>
    <col min="311" max="311" width="7.875" style="1" hidden="1" customWidth="1"/>
    <col min="312" max="313" width="7.375" style="1" hidden="1" customWidth="1"/>
    <col min="314" max="314" width="7.875" style="1" hidden="1" customWidth="1"/>
    <col min="315" max="315" width="7.375" style="1" hidden="1" customWidth="1"/>
    <col min="316" max="316" width="8.125" style="1" hidden="1" customWidth="1"/>
    <col min="317" max="317" width="7.875" style="1" hidden="1" customWidth="1"/>
    <col min="318" max="321" width="9.25" style="1" hidden="1" customWidth="1"/>
    <col min="322" max="322" width="10.125" style="1" bestFit="1" customWidth="1"/>
    <col min="323" max="323" width="14.125" style="1" bestFit="1" customWidth="1"/>
    <col min="324" max="330" width="12.375" style="1" hidden="1" customWidth="1"/>
    <col min="331" max="331" width="13.875" style="1" hidden="1" customWidth="1"/>
    <col min="332" max="335" width="12.375" style="1" hidden="1" customWidth="1"/>
    <col min="336" max="336" width="12.375" style="1" bestFit="1" customWidth="1"/>
    <col min="337" max="343" width="9.25" style="1" hidden="1" customWidth="1"/>
    <col min="344" max="348" width="11.125" style="1" hidden="1" customWidth="1"/>
    <col min="349" max="349" width="11.25" style="1" bestFit="1" customWidth="1"/>
    <col min="350" max="355" width="9.25" style="1" hidden="1" customWidth="1"/>
    <col min="356" max="356" width="11.125" style="1" hidden="1" customWidth="1"/>
    <col min="357" max="361" width="9.25" style="1" hidden="1" customWidth="1"/>
    <col min="362" max="362" width="11.25" style="1" bestFit="1" customWidth="1"/>
    <col min="363" max="363" width="12.375" style="1" bestFit="1" customWidth="1"/>
    <col min="364" max="375" width="13.875" style="1" hidden="1" customWidth="1"/>
    <col min="376" max="376" width="14.125" style="1" bestFit="1" customWidth="1"/>
    <col min="377" max="388" width="11.125" style="1" hidden="1" customWidth="1"/>
    <col min="389" max="389" width="11.25" style="1" bestFit="1" customWidth="1"/>
    <col min="390" max="401" width="11.125" style="1" hidden="1" customWidth="1"/>
    <col min="402" max="402" width="11.25" style="1" bestFit="1" customWidth="1"/>
    <col min="403" max="403" width="14.125" style="1" bestFit="1" customWidth="1"/>
    <col min="404" max="415" width="13.875" style="1" hidden="1" customWidth="1"/>
    <col min="416" max="416" width="14.125" style="1" bestFit="1" customWidth="1"/>
    <col min="417" max="428" width="11.125" style="1" hidden="1" customWidth="1"/>
    <col min="429" max="429" width="11.25" style="1" bestFit="1" customWidth="1"/>
    <col min="430" max="441" width="11.125" style="1" hidden="1" customWidth="1"/>
    <col min="442" max="442" width="11.25" style="1" bestFit="1" customWidth="1"/>
    <col min="443" max="443" width="14.125" style="1" bestFit="1" customWidth="1"/>
    <col min="444" max="455" width="12.375" style="1" hidden="1" customWidth="1"/>
    <col min="456" max="456" width="12.375" style="1" bestFit="1" customWidth="1"/>
    <col min="457" max="468" width="11.125" style="1" hidden="1" customWidth="1"/>
    <col min="469" max="469" width="11.25" style="1" bestFit="1" customWidth="1"/>
    <col min="470" max="481" width="11.125" style="1" hidden="1" customWidth="1"/>
    <col min="482" max="482" width="11.25" style="1" bestFit="1" customWidth="1"/>
    <col min="483" max="483" width="12.375" style="1" bestFit="1" customWidth="1"/>
    <col min="484" max="495" width="13.875" style="1" hidden="1" customWidth="1"/>
    <col min="496" max="496" width="14.125" style="1" bestFit="1" customWidth="1"/>
    <col min="497" max="508" width="11.125" style="1" hidden="1" customWidth="1"/>
    <col min="509" max="509" width="11.25" style="1" bestFit="1" customWidth="1"/>
    <col min="510" max="521" width="11.125" style="1" hidden="1" customWidth="1"/>
    <col min="522" max="522" width="11.25" style="1" bestFit="1" customWidth="1"/>
    <col min="523" max="523" width="14.125" style="1" bestFit="1" customWidth="1"/>
    <col min="524" max="535" width="13.875" style="1" hidden="1" customWidth="1"/>
    <col min="536" max="536" width="14.125" style="1" bestFit="1" customWidth="1"/>
    <col min="537" max="548" width="11.125" style="1" hidden="1" customWidth="1"/>
    <col min="549" max="549" width="12.375" style="1" bestFit="1" customWidth="1"/>
    <col min="550" max="561" width="11.125" style="1" hidden="1" customWidth="1"/>
    <col min="562" max="562" width="11.25" style="1" bestFit="1" customWidth="1"/>
    <col min="563" max="563" width="14.125" style="1" bestFit="1" customWidth="1"/>
    <col min="564" max="564" width="12.375" style="1" hidden="1" customWidth="1"/>
    <col min="565" max="575" width="11.125" style="1" hidden="1" customWidth="1"/>
    <col min="576" max="576" width="11.25" style="1" bestFit="1" customWidth="1"/>
    <col min="577" max="577" width="12.375" style="1" hidden="1" customWidth="1"/>
    <col min="578" max="588" width="11.125" style="1" hidden="1" customWidth="1"/>
    <col min="589" max="589" width="12.375" style="1" bestFit="1" customWidth="1"/>
    <col min="590" max="590" width="13.875" style="1" hidden="1" customWidth="1"/>
    <col min="591" max="601" width="11.125" style="1" hidden="1" customWidth="1"/>
    <col min="602" max="602" width="12.375" style="1" bestFit="1" customWidth="1"/>
    <col min="603" max="603" width="11.125" style="1" hidden="1" customWidth="1"/>
    <col min="604" max="604" width="7.875" style="1" hidden="1" customWidth="1"/>
    <col min="605" max="606" width="7.375" style="1" hidden="1" customWidth="1"/>
    <col min="607" max="607" width="7.875" style="1" hidden="1" customWidth="1"/>
    <col min="608" max="608" width="7.375" style="1" hidden="1" customWidth="1"/>
    <col min="609" max="609" width="8.125" style="1" hidden="1" customWidth="1"/>
    <col min="610" max="610" width="7.875" style="1" hidden="1" customWidth="1"/>
    <col min="611" max="614" width="7.375" style="1" hidden="1" customWidth="1"/>
    <col min="615" max="615" width="10.125" style="1" bestFit="1" customWidth="1"/>
    <col min="616" max="616" width="7.375" style="1" hidden="1" customWidth="1"/>
    <col min="617" max="617" width="7.875" style="1" hidden="1" customWidth="1"/>
    <col min="618" max="619" width="7.375" style="1" hidden="1" customWidth="1"/>
    <col min="620" max="620" width="7.875" style="1" hidden="1" customWidth="1"/>
    <col min="621" max="621" width="7.375" style="1" hidden="1" customWidth="1"/>
    <col min="622" max="622" width="9.75" style="1" hidden="1" customWidth="1"/>
    <col min="623" max="623" width="7.875" style="1" hidden="1" customWidth="1"/>
    <col min="624" max="627" width="7.375" style="1" hidden="1" customWidth="1"/>
    <col min="628" max="628" width="11.25" style="1" bestFit="1" customWidth="1"/>
    <col min="629" max="629" width="7.375" style="1" hidden="1" customWidth="1"/>
    <col min="630" max="630" width="7.875" style="1" hidden="1" customWidth="1"/>
    <col min="631" max="632" width="7.375" style="1" hidden="1" customWidth="1"/>
    <col min="633" max="633" width="7.875" style="1" hidden="1" customWidth="1"/>
    <col min="634" max="634" width="7.375" style="1" hidden="1" customWidth="1"/>
    <col min="635" max="635" width="9.75" style="1" hidden="1" customWidth="1"/>
    <col min="636" max="636" width="7.875" style="1" hidden="1" customWidth="1"/>
    <col min="637" max="640" width="7.375" style="1" hidden="1" customWidth="1"/>
    <col min="641" max="641" width="11.25" style="1" bestFit="1" customWidth="1"/>
    <col min="642" max="642" width="12.375" style="1" bestFit="1" customWidth="1"/>
    <col min="643" max="643" width="15.25" style="1" bestFit="1" customWidth="1"/>
    <col min="644" max="16384" width="9" style="1"/>
  </cols>
  <sheetData>
    <row r="1" spans="1:643" x14ac:dyDescent="0.35">
      <c r="A1" s="97" t="s">
        <v>31</v>
      </c>
      <c r="B1" s="98"/>
      <c r="C1" s="98"/>
      <c r="D1" s="98"/>
      <c r="E1" s="98"/>
      <c r="F1" s="98"/>
    </row>
    <row r="2" spans="1:643" s="12" customFormat="1" x14ac:dyDescent="0.35">
      <c r="A2" s="11"/>
      <c r="B2" s="11"/>
      <c r="C2" s="11"/>
      <c r="D2" s="11"/>
      <c r="E2" s="11"/>
      <c r="F2" s="11"/>
    </row>
    <row r="3" spans="1:643" s="2" customFormat="1" x14ac:dyDescent="0.35">
      <c r="A3" s="92" t="s">
        <v>0</v>
      </c>
      <c r="B3" s="92" t="s">
        <v>14</v>
      </c>
      <c r="C3" s="20"/>
      <c r="D3" s="89" t="s">
        <v>32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33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34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35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36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37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1"/>
      <c r="IJ3" s="89" t="s">
        <v>38</v>
      </c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1"/>
      <c r="JX3" s="89" t="s">
        <v>39</v>
      </c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1"/>
      <c r="LL3" s="89" t="s">
        <v>40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 t="s">
        <v>41</v>
      </c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1"/>
      <c r="ON3" s="89" t="s">
        <v>42</v>
      </c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1"/>
      <c r="QB3" s="89" t="s">
        <v>43</v>
      </c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1"/>
      <c r="RP3" s="89" t="s">
        <v>44</v>
      </c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1"/>
      <c r="TD3" s="89" t="s">
        <v>56</v>
      </c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1"/>
      <c r="UR3" s="89" t="s">
        <v>37</v>
      </c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1"/>
      <c r="VE3" s="89" t="s">
        <v>33</v>
      </c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1"/>
      <c r="VR3" s="89" t="s">
        <v>42</v>
      </c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1"/>
      <c r="WE3" s="89" t="s">
        <v>39</v>
      </c>
      <c r="WF3" s="90"/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1"/>
      <c r="WR3" s="89" t="s">
        <v>44</v>
      </c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1"/>
      <c r="XE3" s="89" t="s">
        <v>41</v>
      </c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1"/>
      <c r="XR3" s="29"/>
      <c r="XS3" s="92" t="s">
        <v>16</v>
      </c>
    </row>
    <row r="4" spans="1:643" s="2" customFormat="1" x14ac:dyDescent="0.35">
      <c r="A4" s="93"/>
      <c r="B4" s="93"/>
      <c r="C4" s="2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94" t="s">
        <v>5</v>
      </c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6"/>
      <c r="NM4" s="89" t="s">
        <v>6</v>
      </c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1"/>
      <c r="NZ4" s="89" t="s">
        <v>7</v>
      </c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1"/>
      <c r="OM4" s="87" t="s">
        <v>227</v>
      </c>
      <c r="ON4" s="94" t="s">
        <v>5</v>
      </c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6"/>
      <c r="PA4" s="89" t="s">
        <v>6</v>
      </c>
      <c r="PB4" s="90"/>
      <c r="PC4" s="90"/>
      <c r="PD4" s="90"/>
      <c r="PE4" s="90"/>
      <c r="PF4" s="90"/>
      <c r="PG4" s="90"/>
      <c r="PH4" s="90"/>
      <c r="PI4" s="90"/>
      <c r="PJ4" s="90"/>
      <c r="PK4" s="90"/>
      <c r="PL4" s="90"/>
      <c r="PM4" s="91"/>
      <c r="PN4" s="89" t="s">
        <v>7</v>
      </c>
      <c r="PO4" s="90"/>
      <c r="PP4" s="90"/>
      <c r="PQ4" s="90"/>
      <c r="PR4" s="90"/>
      <c r="PS4" s="90"/>
      <c r="PT4" s="90"/>
      <c r="PU4" s="90"/>
      <c r="PV4" s="90"/>
      <c r="PW4" s="90"/>
      <c r="PX4" s="90"/>
      <c r="PY4" s="90"/>
      <c r="PZ4" s="91"/>
      <c r="QA4" s="87" t="s">
        <v>227</v>
      </c>
      <c r="QB4" s="94" t="s">
        <v>5</v>
      </c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6"/>
      <c r="QO4" s="89" t="s">
        <v>6</v>
      </c>
      <c r="QP4" s="90"/>
      <c r="QQ4" s="90"/>
      <c r="QR4" s="90"/>
      <c r="QS4" s="90"/>
      <c r="QT4" s="90"/>
      <c r="QU4" s="90"/>
      <c r="QV4" s="90"/>
      <c r="QW4" s="90"/>
      <c r="QX4" s="90"/>
      <c r="QY4" s="90"/>
      <c r="QZ4" s="90"/>
      <c r="RA4" s="91"/>
      <c r="RB4" s="89" t="s">
        <v>7</v>
      </c>
      <c r="RC4" s="90"/>
      <c r="RD4" s="90"/>
      <c r="RE4" s="90"/>
      <c r="RF4" s="90"/>
      <c r="RG4" s="90"/>
      <c r="RH4" s="90"/>
      <c r="RI4" s="90"/>
      <c r="RJ4" s="90"/>
      <c r="RK4" s="90"/>
      <c r="RL4" s="90"/>
      <c r="RM4" s="90"/>
      <c r="RN4" s="91"/>
      <c r="RO4" s="87" t="s">
        <v>227</v>
      </c>
      <c r="RP4" s="94" t="s">
        <v>5</v>
      </c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6"/>
      <c r="SC4" s="89" t="s">
        <v>6</v>
      </c>
      <c r="SD4" s="90"/>
      <c r="SE4" s="90"/>
      <c r="SF4" s="90"/>
      <c r="SG4" s="90"/>
      <c r="SH4" s="90"/>
      <c r="SI4" s="90"/>
      <c r="SJ4" s="90"/>
      <c r="SK4" s="90"/>
      <c r="SL4" s="90"/>
      <c r="SM4" s="90"/>
      <c r="SN4" s="90"/>
      <c r="SO4" s="91"/>
      <c r="SP4" s="89" t="s">
        <v>7</v>
      </c>
      <c r="SQ4" s="90"/>
      <c r="SR4" s="90"/>
      <c r="SS4" s="90"/>
      <c r="ST4" s="90"/>
      <c r="SU4" s="90"/>
      <c r="SV4" s="90"/>
      <c r="SW4" s="90"/>
      <c r="SX4" s="90"/>
      <c r="SY4" s="90"/>
      <c r="SZ4" s="90"/>
      <c r="TA4" s="90"/>
      <c r="TB4" s="91"/>
      <c r="TC4" s="87" t="s">
        <v>227</v>
      </c>
      <c r="TD4" s="94" t="s">
        <v>5</v>
      </c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6"/>
      <c r="TQ4" s="89" t="s">
        <v>6</v>
      </c>
      <c r="TR4" s="90"/>
      <c r="TS4" s="90"/>
      <c r="TT4" s="90"/>
      <c r="TU4" s="90"/>
      <c r="TV4" s="90"/>
      <c r="TW4" s="90"/>
      <c r="TX4" s="90"/>
      <c r="TY4" s="90"/>
      <c r="TZ4" s="90"/>
      <c r="UA4" s="90"/>
      <c r="UB4" s="90"/>
      <c r="UC4" s="91"/>
      <c r="UD4" s="89" t="s">
        <v>7</v>
      </c>
      <c r="UE4" s="90"/>
      <c r="UF4" s="90"/>
      <c r="UG4" s="90"/>
      <c r="UH4" s="90"/>
      <c r="UI4" s="90"/>
      <c r="UJ4" s="90"/>
      <c r="UK4" s="90"/>
      <c r="UL4" s="90"/>
      <c r="UM4" s="90"/>
      <c r="UN4" s="90"/>
      <c r="UO4" s="90"/>
      <c r="UP4" s="91"/>
      <c r="UQ4" s="87" t="s">
        <v>227</v>
      </c>
      <c r="UR4" s="89" t="s">
        <v>87</v>
      </c>
      <c r="US4" s="90"/>
      <c r="UT4" s="90"/>
      <c r="UU4" s="90"/>
      <c r="UV4" s="90"/>
      <c r="UW4" s="90"/>
      <c r="UX4" s="90"/>
      <c r="UY4" s="90"/>
      <c r="UZ4" s="90"/>
      <c r="VA4" s="90"/>
      <c r="VB4" s="90"/>
      <c r="VC4" s="90"/>
      <c r="VD4" s="91"/>
      <c r="VE4" s="89" t="s">
        <v>87</v>
      </c>
      <c r="VF4" s="90"/>
      <c r="VG4" s="90"/>
      <c r="VH4" s="90"/>
      <c r="VI4" s="90"/>
      <c r="VJ4" s="90"/>
      <c r="VK4" s="90"/>
      <c r="VL4" s="90"/>
      <c r="VM4" s="90"/>
      <c r="VN4" s="90"/>
      <c r="VO4" s="90"/>
      <c r="VP4" s="90"/>
      <c r="VQ4" s="91"/>
      <c r="VR4" s="89" t="s">
        <v>87</v>
      </c>
      <c r="VS4" s="90"/>
      <c r="VT4" s="90"/>
      <c r="VU4" s="90"/>
      <c r="VV4" s="90"/>
      <c r="VW4" s="90"/>
      <c r="VX4" s="90"/>
      <c r="VY4" s="90"/>
      <c r="VZ4" s="90"/>
      <c r="WA4" s="90"/>
      <c r="WB4" s="90"/>
      <c r="WC4" s="90"/>
      <c r="WD4" s="91"/>
      <c r="WE4" s="89" t="s">
        <v>87</v>
      </c>
      <c r="WF4" s="90"/>
      <c r="WG4" s="90"/>
      <c r="WH4" s="90"/>
      <c r="WI4" s="90"/>
      <c r="WJ4" s="90"/>
      <c r="WK4" s="90"/>
      <c r="WL4" s="90"/>
      <c r="WM4" s="90"/>
      <c r="WN4" s="90"/>
      <c r="WO4" s="90"/>
      <c r="WP4" s="90"/>
      <c r="WQ4" s="91"/>
      <c r="WR4" s="89" t="s">
        <v>87</v>
      </c>
      <c r="WS4" s="90"/>
      <c r="WT4" s="90"/>
      <c r="WU4" s="90"/>
      <c r="WV4" s="90"/>
      <c r="WW4" s="90"/>
      <c r="WX4" s="90"/>
      <c r="WY4" s="90"/>
      <c r="WZ4" s="90"/>
      <c r="XA4" s="90"/>
      <c r="XB4" s="90"/>
      <c r="XC4" s="90"/>
      <c r="XD4" s="91"/>
      <c r="XE4" s="89" t="s">
        <v>87</v>
      </c>
      <c r="XF4" s="90"/>
      <c r="XG4" s="90"/>
      <c r="XH4" s="90"/>
      <c r="XI4" s="90"/>
      <c r="XJ4" s="90"/>
      <c r="XK4" s="90"/>
      <c r="XL4" s="90"/>
      <c r="XM4" s="90"/>
      <c r="XN4" s="90"/>
      <c r="XO4" s="90"/>
      <c r="XP4" s="90"/>
      <c r="XQ4" s="91"/>
      <c r="XR4" s="87" t="s">
        <v>227</v>
      </c>
      <c r="XS4" s="93"/>
    </row>
    <row r="5" spans="1:643" s="2" customFormat="1" x14ac:dyDescent="0.35">
      <c r="A5" s="21"/>
      <c r="B5" s="21"/>
      <c r="C5" s="2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C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 t="shared" si="2"/>
        <v>ก.ย.</v>
      </c>
      <c r="BD5" s="17" t="s">
        <v>16</v>
      </c>
      <c r="BE5" s="16" t="str">
        <f>+AR5</f>
        <v>ต.ค.</v>
      </c>
      <c r="BF5" s="16" t="str">
        <f t="shared" ref="BF5:BP5" si="3">+AS5</f>
        <v>พ.ย.</v>
      </c>
      <c r="BG5" s="16" t="str">
        <f t="shared" si="3"/>
        <v>ธ.ค.</v>
      </c>
      <c r="BH5" s="16" t="str">
        <f t="shared" si="3"/>
        <v>ม.ค.</v>
      </c>
      <c r="BI5" s="16" t="str">
        <f t="shared" si="3"/>
        <v>ก.พ.</v>
      </c>
      <c r="BJ5" s="16" t="str">
        <f t="shared" si="3"/>
        <v>มี.ค.</v>
      </c>
      <c r="BK5" s="16" t="str">
        <f t="shared" si="3"/>
        <v>เม.ย.</v>
      </c>
      <c r="BL5" s="16" t="str">
        <f t="shared" si="3"/>
        <v>พ.ค.</v>
      </c>
      <c r="BM5" s="16" t="str">
        <f t="shared" si="3"/>
        <v>มิ.ย.</v>
      </c>
      <c r="BN5" s="16" t="str">
        <f t="shared" si="3"/>
        <v>ก.ค.</v>
      </c>
      <c r="BO5" s="16" t="str">
        <f t="shared" si="3"/>
        <v>ส.ค.</v>
      </c>
      <c r="BP5" s="16" t="str">
        <f t="shared" si="3"/>
        <v>ก.ย.</v>
      </c>
      <c r="BQ5" s="17" t="s">
        <v>16</v>
      </c>
      <c r="BR5" s="16" t="str">
        <f>+BE5</f>
        <v>ต.ค.</v>
      </c>
      <c r="BS5" s="16" t="str">
        <f t="shared" ref="BS5:CC5" si="4">+BF5</f>
        <v>พ.ย.</v>
      </c>
      <c r="BT5" s="16" t="str">
        <f t="shared" si="4"/>
        <v>ธ.ค.</v>
      </c>
      <c r="BU5" s="16" t="str">
        <f t="shared" si="4"/>
        <v>ม.ค.</v>
      </c>
      <c r="BV5" s="16" t="str">
        <f t="shared" si="4"/>
        <v>ก.พ.</v>
      </c>
      <c r="BW5" s="16" t="str">
        <f t="shared" si="4"/>
        <v>มี.ค.</v>
      </c>
      <c r="BX5" s="16" t="str">
        <f t="shared" si="4"/>
        <v>เม.ย.</v>
      </c>
      <c r="BY5" s="16" t="str">
        <f t="shared" si="4"/>
        <v>พ.ค.</v>
      </c>
      <c r="BZ5" s="16" t="str">
        <f t="shared" si="4"/>
        <v>มิ.ย.</v>
      </c>
      <c r="CA5" s="16" t="str">
        <f t="shared" si="4"/>
        <v>ก.ค.</v>
      </c>
      <c r="CB5" s="16" t="str">
        <f t="shared" si="4"/>
        <v>ส.ค.</v>
      </c>
      <c r="CC5" s="16" t="str">
        <f t="shared" si="4"/>
        <v>ก.ย.</v>
      </c>
      <c r="CD5" s="17" t="s">
        <v>16</v>
      </c>
      <c r="CE5" s="88"/>
      <c r="CF5" s="16" t="str">
        <f>+BR5</f>
        <v>ต.ค.</v>
      </c>
      <c r="CG5" s="16" t="str">
        <f t="shared" ref="CG5:CQ5" si="5">+BS5</f>
        <v>พ.ย.</v>
      </c>
      <c r="CH5" s="16" t="str">
        <f t="shared" si="5"/>
        <v>ธ.ค.</v>
      </c>
      <c r="CI5" s="16" t="str">
        <f t="shared" si="5"/>
        <v>ม.ค.</v>
      </c>
      <c r="CJ5" s="16" t="str">
        <f t="shared" si="5"/>
        <v>ก.พ.</v>
      </c>
      <c r="CK5" s="16" t="str">
        <f t="shared" si="5"/>
        <v>มี.ค.</v>
      </c>
      <c r="CL5" s="16" t="str">
        <f t="shared" si="5"/>
        <v>เม.ย.</v>
      </c>
      <c r="CM5" s="16" t="str">
        <f t="shared" si="5"/>
        <v>พ.ค.</v>
      </c>
      <c r="CN5" s="16" t="str">
        <f t="shared" si="5"/>
        <v>มิ.ย.</v>
      </c>
      <c r="CO5" s="16" t="str">
        <f t="shared" si="5"/>
        <v>ก.ค.</v>
      </c>
      <c r="CP5" s="16" t="str">
        <f t="shared" si="5"/>
        <v>ส.ค.</v>
      </c>
      <c r="CQ5" s="16" t="str">
        <f t="shared" si="5"/>
        <v>ก.ย.</v>
      </c>
      <c r="CR5" s="17" t="s">
        <v>16</v>
      </c>
      <c r="CS5" s="16" t="str">
        <f>+CF5</f>
        <v>ต.ค.</v>
      </c>
      <c r="CT5" s="16" t="str">
        <f t="shared" ref="CT5:DD5" si="6">+CG5</f>
        <v>พ.ย.</v>
      </c>
      <c r="CU5" s="16" t="str">
        <f t="shared" si="6"/>
        <v>ธ.ค.</v>
      </c>
      <c r="CV5" s="16" t="str">
        <f t="shared" si="6"/>
        <v>ม.ค.</v>
      </c>
      <c r="CW5" s="16" t="str">
        <f t="shared" si="6"/>
        <v>ก.พ.</v>
      </c>
      <c r="CX5" s="16" t="str">
        <f t="shared" si="6"/>
        <v>มี.ค.</v>
      </c>
      <c r="CY5" s="16" t="str">
        <f t="shared" si="6"/>
        <v>เม.ย.</v>
      </c>
      <c r="CZ5" s="16" t="str">
        <f t="shared" si="6"/>
        <v>พ.ค.</v>
      </c>
      <c r="DA5" s="16" t="str">
        <f t="shared" si="6"/>
        <v>มิ.ย.</v>
      </c>
      <c r="DB5" s="16" t="str">
        <f t="shared" si="6"/>
        <v>ก.ค.</v>
      </c>
      <c r="DC5" s="16" t="str">
        <f t="shared" si="6"/>
        <v>ส.ค.</v>
      </c>
      <c r="DD5" s="16" t="str">
        <f t="shared" si="6"/>
        <v>ก.ย.</v>
      </c>
      <c r="DE5" s="17" t="s">
        <v>16</v>
      </c>
      <c r="DF5" s="16" t="str">
        <f>+CS5</f>
        <v>ต.ค.</v>
      </c>
      <c r="DG5" s="16" t="str">
        <f t="shared" ref="DG5:DP5" si="7">+CT5</f>
        <v>พ.ย.</v>
      </c>
      <c r="DH5" s="16" t="str">
        <f t="shared" si="7"/>
        <v>ธ.ค.</v>
      </c>
      <c r="DI5" s="16" t="str">
        <f t="shared" si="7"/>
        <v>ม.ค.</v>
      </c>
      <c r="DJ5" s="16" t="str">
        <f t="shared" si="7"/>
        <v>ก.พ.</v>
      </c>
      <c r="DK5" s="16" t="str">
        <f t="shared" si="7"/>
        <v>มี.ค.</v>
      </c>
      <c r="DL5" s="16" t="str">
        <f t="shared" si="7"/>
        <v>เม.ย.</v>
      </c>
      <c r="DM5" s="16" t="str">
        <f t="shared" si="7"/>
        <v>พ.ค.</v>
      </c>
      <c r="DN5" s="16" t="str">
        <f t="shared" si="7"/>
        <v>มิ.ย.</v>
      </c>
      <c r="DO5" s="16" t="str">
        <f t="shared" si="7"/>
        <v>ก.ค.</v>
      </c>
      <c r="DP5" s="16" t="str">
        <f t="shared" si="7"/>
        <v>ส.ค.</v>
      </c>
      <c r="DQ5" s="16" t="str">
        <f>+DD5</f>
        <v>ก.ย.</v>
      </c>
      <c r="DR5" s="17" t="s">
        <v>16</v>
      </c>
      <c r="DS5" s="88"/>
      <c r="DT5" s="16" t="str">
        <f>+DF5</f>
        <v>ต.ค.</v>
      </c>
      <c r="DU5" s="16" t="str">
        <f t="shared" ref="DU5:EE5" si="8">+DG5</f>
        <v>พ.ย.</v>
      </c>
      <c r="DV5" s="16" t="str">
        <f t="shared" si="8"/>
        <v>ธ.ค.</v>
      </c>
      <c r="DW5" s="16" t="str">
        <f t="shared" si="8"/>
        <v>ม.ค.</v>
      </c>
      <c r="DX5" s="16" t="str">
        <f t="shared" si="8"/>
        <v>ก.พ.</v>
      </c>
      <c r="DY5" s="16" t="str">
        <f t="shared" si="8"/>
        <v>มี.ค.</v>
      </c>
      <c r="DZ5" s="16" t="str">
        <f t="shared" si="8"/>
        <v>เม.ย.</v>
      </c>
      <c r="EA5" s="16" t="str">
        <f t="shared" si="8"/>
        <v>พ.ค.</v>
      </c>
      <c r="EB5" s="16" t="str">
        <f t="shared" si="8"/>
        <v>มิ.ย.</v>
      </c>
      <c r="EC5" s="16" t="str">
        <f t="shared" si="8"/>
        <v>ก.ค.</v>
      </c>
      <c r="ED5" s="16" t="str">
        <f t="shared" si="8"/>
        <v>ส.ค.</v>
      </c>
      <c r="EE5" s="16" t="str">
        <f t="shared" si="8"/>
        <v>ก.ย.</v>
      </c>
      <c r="EF5" s="17" t="s">
        <v>16</v>
      </c>
      <c r="EG5" s="16" t="str">
        <f>+DT5</f>
        <v>ต.ค.</v>
      </c>
      <c r="EH5" s="16" t="str">
        <f t="shared" ref="EH5:ER5" si="9">+DU5</f>
        <v>พ.ย.</v>
      </c>
      <c r="EI5" s="16" t="str">
        <f t="shared" si="9"/>
        <v>ธ.ค.</v>
      </c>
      <c r="EJ5" s="16" t="str">
        <f t="shared" si="9"/>
        <v>ม.ค.</v>
      </c>
      <c r="EK5" s="16" t="str">
        <f t="shared" si="9"/>
        <v>ก.พ.</v>
      </c>
      <c r="EL5" s="16" t="str">
        <f t="shared" si="9"/>
        <v>มี.ค.</v>
      </c>
      <c r="EM5" s="16" t="str">
        <f t="shared" si="9"/>
        <v>เม.ย.</v>
      </c>
      <c r="EN5" s="16" t="str">
        <f t="shared" si="9"/>
        <v>พ.ค.</v>
      </c>
      <c r="EO5" s="16" t="str">
        <f t="shared" si="9"/>
        <v>มิ.ย.</v>
      </c>
      <c r="EP5" s="16" t="str">
        <f t="shared" si="9"/>
        <v>ก.ค.</v>
      </c>
      <c r="EQ5" s="16" t="str">
        <f t="shared" si="9"/>
        <v>ส.ค.</v>
      </c>
      <c r="ER5" s="16" t="str">
        <f t="shared" si="9"/>
        <v>ก.ย.</v>
      </c>
      <c r="ES5" s="17" t="s">
        <v>16</v>
      </c>
      <c r="ET5" s="16" t="str">
        <f>+EG5</f>
        <v>ต.ค.</v>
      </c>
      <c r="EU5" s="16" t="str">
        <f t="shared" ref="EU5:FE5" si="10">+EH5</f>
        <v>พ.ย.</v>
      </c>
      <c r="EV5" s="16" t="str">
        <f t="shared" si="10"/>
        <v>ธ.ค.</v>
      </c>
      <c r="EW5" s="16" t="str">
        <f t="shared" si="10"/>
        <v>ม.ค.</v>
      </c>
      <c r="EX5" s="16" t="str">
        <f t="shared" si="10"/>
        <v>ก.พ.</v>
      </c>
      <c r="EY5" s="16" t="str">
        <f t="shared" si="10"/>
        <v>มี.ค.</v>
      </c>
      <c r="EZ5" s="16" t="str">
        <f t="shared" si="10"/>
        <v>เม.ย.</v>
      </c>
      <c r="FA5" s="16" t="str">
        <f t="shared" si="10"/>
        <v>พ.ค.</v>
      </c>
      <c r="FB5" s="16" t="str">
        <f t="shared" si="10"/>
        <v>มิ.ย.</v>
      </c>
      <c r="FC5" s="16" t="str">
        <f t="shared" si="10"/>
        <v>ก.ค.</v>
      </c>
      <c r="FD5" s="16" t="str">
        <f t="shared" si="10"/>
        <v>ส.ค.</v>
      </c>
      <c r="FE5" s="16" t="str">
        <f t="shared" si="10"/>
        <v>ก.ย.</v>
      </c>
      <c r="FF5" s="17" t="s">
        <v>16</v>
      </c>
      <c r="FG5" s="88"/>
      <c r="FH5" s="16" t="str">
        <f>+ET5</f>
        <v>ต.ค.</v>
      </c>
      <c r="FI5" s="16" t="str">
        <f t="shared" ref="FI5:FS5" si="11">+EU5</f>
        <v>พ.ย.</v>
      </c>
      <c r="FJ5" s="16" t="str">
        <f t="shared" si="11"/>
        <v>ธ.ค.</v>
      </c>
      <c r="FK5" s="16" t="str">
        <f t="shared" si="11"/>
        <v>ม.ค.</v>
      </c>
      <c r="FL5" s="16" t="str">
        <f t="shared" si="11"/>
        <v>ก.พ.</v>
      </c>
      <c r="FM5" s="16" t="str">
        <f t="shared" si="11"/>
        <v>มี.ค.</v>
      </c>
      <c r="FN5" s="16" t="str">
        <f t="shared" si="11"/>
        <v>เม.ย.</v>
      </c>
      <c r="FO5" s="16" t="str">
        <f t="shared" si="11"/>
        <v>พ.ค.</v>
      </c>
      <c r="FP5" s="16" t="str">
        <f t="shared" si="11"/>
        <v>มิ.ย.</v>
      </c>
      <c r="FQ5" s="16" t="str">
        <f t="shared" si="11"/>
        <v>ก.ค.</v>
      </c>
      <c r="FR5" s="16" t="str">
        <f t="shared" si="11"/>
        <v>ส.ค.</v>
      </c>
      <c r="FS5" s="16" t="str">
        <f t="shared" si="11"/>
        <v>ก.ย.</v>
      </c>
      <c r="FT5" s="17" t="s">
        <v>16</v>
      </c>
      <c r="FU5" s="16" t="str">
        <f>+FH5</f>
        <v>ต.ค.</v>
      </c>
      <c r="FV5" s="16" t="str">
        <f t="shared" ref="FV5:GF5" si="12">+FI5</f>
        <v>พ.ย.</v>
      </c>
      <c r="FW5" s="16" t="str">
        <f t="shared" si="12"/>
        <v>ธ.ค.</v>
      </c>
      <c r="FX5" s="16" t="str">
        <f t="shared" si="12"/>
        <v>ม.ค.</v>
      </c>
      <c r="FY5" s="16" t="str">
        <f t="shared" si="12"/>
        <v>ก.พ.</v>
      </c>
      <c r="FZ5" s="16" t="str">
        <f t="shared" si="12"/>
        <v>มี.ค.</v>
      </c>
      <c r="GA5" s="16" t="str">
        <f t="shared" si="12"/>
        <v>เม.ย.</v>
      </c>
      <c r="GB5" s="16" t="str">
        <f t="shared" si="12"/>
        <v>พ.ค.</v>
      </c>
      <c r="GC5" s="16" t="str">
        <f t="shared" si="12"/>
        <v>มิ.ย.</v>
      </c>
      <c r="GD5" s="16" t="str">
        <f t="shared" si="12"/>
        <v>ก.ค.</v>
      </c>
      <c r="GE5" s="16" t="str">
        <f t="shared" si="12"/>
        <v>ส.ค.</v>
      </c>
      <c r="GF5" s="16" t="str">
        <f t="shared" si="12"/>
        <v>ก.ย.</v>
      </c>
      <c r="GG5" s="17" t="s">
        <v>16</v>
      </c>
      <c r="GH5" s="16" t="str">
        <f>+FU5</f>
        <v>ต.ค.</v>
      </c>
      <c r="GI5" s="16" t="str">
        <f t="shared" ref="GI5:GS5" si="13">+FV5</f>
        <v>พ.ย.</v>
      </c>
      <c r="GJ5" s="16" t="str">
        <f t="shared" si="13"/>
        <v>ธ.ค.</v>
      </c>
      <c r="GK5" s="16" t="str">
        <f t="shared" si="13"/>
        <v>ม.ค.</v>
      </c>
      <c r="GL5" s="16" t="str">
        <f t="shared" si="13"/>
        <v>ก.พ.</v>
      </c>
      <c r="GM5" s="16" t="str">
        <f t="shared" si="13"/>
        <v>มี.ค.</v>
      </c>
      <c r="GN5" s="16" t="str">
        <f t="shared" si="13"/>
        <v>เม.ย.</v>
      </c>
      <c r="GO5" s="16" t="str">
        <f t="shared" si="13"/>
        <v>พ.ค.</v>
      </c>
      <c r="GP5" s="16" t="str">
        <f t="shared" si="13"/>
        <v>มิ.ย.</v>
      </c>
      <c r="GQ5" s="16" t="str">
        <f t="shared" si="13"/>
        <v>ก.ค.</v>
      </c>
      <c r="GR5" s="16" t="str">
        <f t="shared" si="13"/>
        <v>ส.ค.</v>
      </c>
      <c r="GS5" s="16" t="str">
        <f t="shared" si="13"/>
        <v>ก.ย.</v>
      </c>
      <c r="GT5" s="17" t="s">
        <v>16</v>
      </c>
      <c r="GU5" s="88"/>
      <c r="GV5" s="16" t="str">
        <f>+GH5</f>
        <v>ต.ค.</v>
      </c>
      <c r="GW5" s="16" t="str">
        <f t="shared" ref="GW5:HG5" si="14">+GI5</f>
        <v>พ.ย.</v>
      </c>
      <c r="GX5" s="16" t="str">
        <f t="shared" si="14"/>
        <v>ธ.ค.</v>
      </c>
      <c r="GY5" s="16" t="str">
        <f t="shared" si="14"/>
        <v>ม.ค.</v>
      </c>
      <c r="GZ5" s="16" t="str">
        <f t="shared" si="14"/>
        <v>ก.พ.</v>
      </c>
      <c r="HA5" s="16" t="str">
        <f t="shared" si="14"/>
        <v>มี.ค.</v>
      </c>
      <c r="HB5" s="16" t="str">
        <f t="shared" si="14"/>
        <v>เม.ย.</v>
      </c>
      <c r="HC5" s="16" t="str">
        <f t="shared" si="14"/>
        <v>พ.ค.</v>
      </c>
      <c r="HD5" s="16" t="str">
        <f t="shared" si="14"/>
        <v>มิ.ย.</v>
      </c>
      <c r="HE5" s="16" t="str">
        <f t="shared" si="14"/>
        <v>ก.ค.</v>
      </c>
      <c r="HF5" s="16" t="str">
        <f t="shared" si="14"/>
        <v>ส.ค.</v>
      </c>
      <c r="HG5" s="16" t="str">
        <f t="shared" si="14"/>
        <v>ก.ย.</v>
      </c>
      <c r="HH5" s="17" t="s">
        <v>16</v>
      </c>
      <c r="HI5" s="16" t="str">
        <f>+GV5</f>
        <v>ต.ค.</v>
      </c>
      <c r="HJ5" s="16" t="str">
        <f t="shared" ref="HJ5:HT5" si="15">+GW5</f>
        <v>พ.ย.</v>
      </c>
      <c r="HK5" s="16" t="str">
        <f t="shared" si="15"/>
        <v>ธ.ค.</v>
      </c>
      <c r="HL5" s="16" t="str">
        <f t="shared" si="15"/>
        <v>ม.ค.</v>
      </c>
      <c r="HM5" s="16" t="str">
        <f t="shared" si="15"/>
        <v>ก.พ.</v>
      </c>
      <c r="HN5" s="16" t="str">
        <f t="shared" si="15"/>
        <v>มี.ค.</v>
      </c>
      <c r="HO5" s="16" t="str">
        <f t="shared" si="15"/>
        <v>เม.ย.</v>
      </c>
      <c r="HP5" s="16" t="str">
        <f t="shared" si="15"/>
        <v>พ.ค.</v>
      </c>
      <c r="HQ5" s="16" t="str">
        <f t="shared" si="15"/>
        <v>มิ.ย.</v>
      </c>
      <c r="HR5" s="16" t="str">
        <f t="shared" si="15"/>
        <v>ก.ค.</v>
      </c>
      <c r="HS5" s="16" t="str">
        <f t="shared" si="15"/>
        <v>ส.ค.</v>
      </c>
      <c r="HT5" s="16" t="str">
        <f t="shared" si="15"/>
        <v>ก.ย.</v>
      </c>
      <c r="HU5" s="17" t="s">
        <v>16</v>
      </c>
      <c r="HV5" s="16" t="str">
        <f>+HI5</f>
        <v>ต.ค.</v>
      </c>
      <c r="HW5" s="16" t="str">
        <f t="shared" ref="HW5:IG5" si="16">+HJ5</f>
        <v>พ.ย.</v>
      </c>
      <c r="HX5" s="16" t="str">
        <f t="shared" si="16"/>
        <v>ธ.ค.</v>
      </c>
      <c r="HY5" s="16" t="str">
        <f t="shared" si="16"/>
        <v>ม.ค.</v>
      </c>
      <c r="HZ5" s="16" t="str">
        <f t="shared" si="16"/>
        <v>ก.พ.</v>
      </c>
      <c r="IA5" s="16" t="str">
        <f t="shared" si="16"/>
        <v>มี.ค.</v>
      </c>
      <c r="IB5" s="16" t="str">
        <f t="shared" si="16"/>
        <v>เม.ย.</v>
      </c>
      <c r="IC5" s="16" t="str">
        <f t="shared" si="16"/>
        <v>พ.ค.</v>
      </c>
      <c r="ID5" s="16" t="str">
        <f t="shared" si="16"/>
        <v>มิ.ย.</v>
      </c>
      <c r="IE5" s="16" t="str">
        <f t="shared" si="16"/>
        <v>ก.ค.</v>
      </c>
      <c r="IF5" s="16" t="str">
        <f t="shared" si="16"/>
        <v>ส.ค.</v>
      </c>
      <c r="IG5" s="16" t="str">
        <f t="shared" si="16"/>
        <v>ก.ย.</v>
      </c>
      <c r="IH5" s="17" t="s">
        <v>16</v>
      </c>
      <c r="II5" s="88"/>
      <c r="IJ5" s="16" t="str">
        <f>+HV5</f>
        <v>ต.ค.</v>
      </c>
      <c r="IK5" s="16" t="str">
        <f t="shared" ref="IK5:IU5" si="17">+HW5</f>
        <v>พ.ย.</v>
      </c>
      <c r="IL5" s="16" t="str">
        <f t="shared" si="17"/>
        <v>ธ.ค.</v>
      </c>
      <c r="IM5" s="16" t="str">
        <f t="shared" si="17"/>
        <v>ม.ค.</v>
      </c>
      <c r="IN5" s="16" t="str">
        <f t="shared" si="17"/>
        <v>ก.พ.</v>
      </c>
      <c r="IO5" s="16" t="str">
        <f t="shared" si="17"/>
        <v>มี.ค.</v>
      </c>
      <c r="IP5" s="16" t="str">
        <f t="shared" si="17"/>
        <v>เม.ย.</v>
      </c>
      <c r="IQ5" s="16" t="str">
        <f t="shared" si="17"/>
        <v>พ.ค.</v>
      </c>
      <c r="IR5" s="16" t="str">
        <f t="shared" si="17"/>
        <v>มิ.ย.</v>
      </c>
      <c r="IS5" s="16" t="str">
        <f t="shared" si="17"/>
        <v>ก.ค.</v>
      </c>
      <c r="IT5" s="16" t="str">
        <f t="shared" si="17"/>
        <v>ส.ค.</v>
      </c>
      <c r="IU5" s="16" t="str">
        <f t="shared" si="17"/>
        <v>ก.ย.</v>
      </c>
      <c r="IV5" s="17" t="s">
        <v>16</v>
      </c>
      <c r="IW5" s="16" t="str">
        <f>+IJ5</f>
        <v>ต.ค.</v>
      </c>
      <c r="IX5" s="16" t="str">
        <f t="shared" ref="IX5:JH5" si="18">+IK5</f>
        <v>พ.ย.</v>
      </c>
      <c r="IY5" s="16" t="str">
        <f t="shared" si="18"/>
        <v>ธ.ค.</v>
      </c>
      <c r="IZ5" s="16" t="str">
        <f t="shared" si="18"/>
        <v>ม.ค.</v>
      </c>
      <c r="JA5" s="16" t="str">
        <f t="shared" si="18"/>
        <v>ก.พ.</v>
      </c>
      <c r="JB5" s="16" t="str">
        <f t="shared" si="18"/>
        <v>มี.ค.</v>
      </c>
      <c r="JC5" s="16" t="str">
        <f t="shared" si="18"/>
        <v>เม.ย.</v>
      </c>
      <c r="JD5" s="16" t="str">
        <f t="shared" si="18"/>
        <v>พ.ค.</v>
      </c>
      <c r="JE5" s="16" t="str">
        <f t="shared" si="18"/>
        <v>มิ.ย.</v>
      </c>
      <c r="JF5" s="16" t="str">
        <f t="shared" si="18"/>
        <v>ก.ค.</v>
      </c>
      <c r="JG5" s="16" t="str">
        <f t="shared" si="18"/>
        <v>ส.ค.</v>
      </c>
      <c r="JH5" s="16" t="str">
        <f t="shared" si="18"/>
        <v>ก.ย.</v>
      </c>
      <c r="JI5" s="17" t="s">
        <v>16</v>
      </c>
      <c r="JJ5" s="16" t="str">
        <f>+IW5</f>
        <v>ต.ค.</v>
      </c>
      <c r="JK5" s="16" t="str">
        <f t="shared" ref="JK5:JU5" si="19">+IX5</f>
        <v>พ.ย.</v>
      </c>
      <c r="JL5" s="16" t="str">
        <f t="shared" si="19"/>
        <v>ธ.ค.</v>
      </c>
      <c r="JM5" s="16" t="str">
        <f t="shared" si="19"/>
        <v>ม.ค.</v>
      </c>
      <c r="JN5" s="16" t="str">
        <f t="shared" si="19"/>
        <v>ก.พ.</v>
      </c>
      <c r="JO5" s="16" t="str">
        <f t="shared" si="19"/>
        <v>มี.ค.</v>
      </c>
      <c r="JP5" s="16" t="str">
        <f t="shared" si="19"/>
        <v>เม.ย.</v>
      </c>
      <c r="JQ5" s="16" t="str">
        <f t="shared" si="19"/>
        <v>พ.ค.</v>
      </c>
      <c r="JR5" s="16" t="str">
        <f t="shared" si="19"/>
        <v>มิ.ย.</v>
      </c>
      <c r="JS5" s="16" t="str">
        <f t="shared" si="19"/>
        <v>ก.ค.</v>
      </c>
      <c r="JT5" s="16" t="str">
        <f t="shared" si="19"/>
        <v>ส.ค.</v>
      </c>
      <c r="JU5" s="16" t="str">
        <f t="shared" si="19"/>
        <v>ก.ย.</v>
      </c>
      <c r="JV5" s="17" t="s">
        <v>16</v>
      </c>
      <c r="JW5" s="88"/>
      <c r="JX5" s="16" t="str">
        <f>+JJ5</f>
        <v>ต.ค.</v>
      </c>
      <c r="JY5" s="16" t="str">
        <f t="shared" ref="JY5:KI5" si="20">+JK5</f>
        <v>พ.ย.</v>
      </c>
      <c r="JZ5" s="16" t="str">
        <f t="shared" si="20"/>
        <v>ธ.ค.</v>
      </c>
      <c r="KA5" s="16" t="str">
        <f t="shared" si="20"/>
        <v>ม.ค.</v>
      </c>
      <c r="KB5" s="16" t="str">
        <f t="shared" si="20"/>
        <v>ก.พ.</v>
      </c>
      <c r="KC5" s="16" t="str">
        <f t="shared" si="20"/>
        <v>มี.ค.</v>
      </c>
      <c r="KD5" s="16" t="str">
        <f t="shared" si="20"/>
        <v>เม.ย.</v>
      </c>
      <c r="KE5" s="16" t="str">
        <f t="shared" si="20"/>
        <v>พ.ค.</v>
      </c>
      <c r="KF5" s="16" t="str">
        <f t="shared" si="20"/>
        <v>มิ.ย.</v>
      </c>
      <c r="KG5" s="16" t="str">
        <f t="shared" si="20"/>
        <v>ก.ค.</v>
      </c>
      <c r="KH5" s="16" t="str">
        <f t="shared" si="20"/>
        <v>ส.ค.</v>
      </c>
      <c r="KI5" s="16" t="str">
        <f t="shared" si="20"/>
        <v>ก.ย.</v>
      </c>
      <c r="KJ5" s="17" t="s">
        <v>16</v>
      </c>
      <c r="KK5" s="16" t="str">
        <f>+JX5</f>
        <v>ต.ค.</v>
      </c>
      <c r="KL5" s="16" t="str">
        <f t="shared" ref="KL5:KV5" si="21">+JY5</f>
        <v>พ.ย.</v>
      </c>
      <c r="KM5" s="16" t="str">
        <f t="shared" si="21"/>
        <v>ธ.ค.</v>
      </c>
      <c r="KN5" s="16" t="str">
        <f t="shared" si="21"/>
        <v>ม.ค.</v>
      </c>
      <c r="KO5" s="16" t="str">
        <f t="shared" si="21"/>
        <v>ก.พ.</v>
      </c>
      <c r="KP5" s="16" t="str">
        <f t="shared" si="21"/>
        <v>มี.ค.</v>
      </c>
      <c r="KQ5" s="16" t="str">
        <f t="shared" si="21"/>
        <v>เม.ย.</v>
      </c>
      <c r="KR5" s="16" t="str">
        <f t="shared" si="21"/>
        <v>พ.ค.</v>
      </c>
      <c r="KS5" s="16" t="str">
        <f t="shared" si="21"/>
        <v>มิ.ย.</v>
      </c>
      <c r="KT5" s="16" t="str">
        <f t="shared" si="21"/>
        <v>ก.ค.</v>
      </c>
      <c r="KU5" s="16" t="str">
        <f t="shared" si="21"/>
        <v>ส.ค.</v>
      </c>
      <c r="KV5" s="16" t="str">
        <f t="shared" si="21"/>
        <v>ก.ย.</v>
      </c>
      <c r="KW5" s="17" t="s">
        <v>16</v>
      </c>
      <c r="KX5" s="16" t="str">
        <f>+KK5</f>
        <v>ต.ค.</v>
      </c>
      <c r="KY5" s="16" t="str">
        <f t="shared" ref="KY5:LI5" si="22">+KL5</f>
        <v>พ.ย.</v>
      </c>
      <c r="KZ5" s="16" t="str">
        <f t="shared" si="22"/>
        <v>ธ.ค.</v>
      </c>
      <c r="LA5" s="16" t="str">
        <f t="shared" si="22"/>
        <v>ม.ค.</v>
      </c>
      <c r="LB5" s="16" t="str">
        <f t="shared" si="22"/>
        <v>ก.พ.</v>
      </c>
      <c r="LC5" s="16" t="str">
        <f t="shared" si="22"/>
        <v>มี.ค.</v>
      </c>
      <c r="LD5" s="16" t="str">
        <f t="shared" si="22"/>
        <v>เม.ย.</v>
      </c>
      <c r="LE5" s="16" t="str">
        <f t="shared" si="22"/>
        <v>พ.ค.</v>
      </c>
      <c r="LF5" s="16" t="str">
        <f t="shared" si="22"/>
        <v>มิ.ย.</v>
      </c>
      <c r="LG5" s="16" t="str">
        <f t="shared" si="22"/>
        <v>ก.ค.</v>
      </c>
      <c r="LH5" s="16" t="str">
        <f t="shared" si="22"/>
        <v>ส.ค.</v>
      </c>
      <c r="LI5" s="16" t="str">
        <f t="shared" si="22"/>
        <v>ก.ย.</v>
      </c>
      <c r="LJ5" s="17" t="s">
        <v>16</v>
      </c>
      <c r="LK5" s="88"/>
      <c r="LL5" s="16" t="str">
        <f>+KX5</f>
        <v>ต.ค.</v>
      </c>
      <c r="LM5" s="16" t="str">
        <f t="shared" ref="LM5:LW5" si="23">+KY5</f>
        <v>พ.ย.</v>
      </c>
      <c r="LN5" s="16" t="str">
        <f t="shared" si="23"/>
        <v>ธ.ค.</v>
      </c>
      <c r="LO5" s="16" t="str">
        <f t="shared" si="23"/>
        <v>ม.ค.</v>
      </c>
      <c r="LP5" s="16" t="str">
        <f t="shared" si="23"/>
        <v>ก.พ.</v>
      </c>
      <c r="LQ5" s="16" t="str">
        <f t="shared" si="23"/>
        <v>มี.ค.</v>
      </c>
      <c r="LR5" s="16" t="str">
        <f t="shared" si="23"/>
        <v>เม.ย.</v>
      </c>
      <c r="LS5" s="16" t="str">
        <f t="shared" si="23"/>
        <v>พ.ค.</v>
      </c>
      <c r="LT5" s="16" t="str">
        <f t="shared" si="23"/>
        <v>มิ.ย.</v>
      </c>
      <c r="LU5" s="16" t="str">
        <f t="shared" si="23"/>
        <v>ก.ค.</v>
      </c>
      <c r="LV5" s="16" t="str">
        <f t="shared" si="23"/>
        <v>ส.ค.</v>
      </c>
      <c r="LW5" s="16" t="str">
        <f t="shared" si="23"/>
        <v>ก.ย.</v>
      </c>
      <c r="LX5" s="17" t="s">
        <v>16</v>
      </c>
      <c r="LY5" s="16" t="str">
        <f>+LL5</f>
        <v>ต.ค.</v>
      </c>
      <c r="LZ5" s="16" t="str">
        <f t="shared" ref="LZ5:MJ5" si="24">+LM5</f>
        <v>พ.ย.</v>
      </c>
      <c r="MA5" s="16" t="str">
        <f t="shared" si="24"/>
        <v>ธ.ค.</v>
      </c>
      <c r="MB5" s="16" t="str">
        <f t="shared" si="24"/>
        <v>ม.ค.</v>
      </c>
      <c r="MC5" s="16" t="str">
        <f t="shared" si="24"/>
        <v>ก.พ.</v>
      </c>
      <c r="MD5" s="16" t="str">
        <f t="shared" si="24"/>
        <v>มี.ค.</v>
      </c>
      <c r="ME5" s="16" t="str">
        <f t="shared" si="24"/>
        <v>เม.ย.</v>
      </c>
      <c r="MF5" s="16" t="str">
        <f t="shared" si="24"/>
        <v>พ.ค.</v>
      </c>
      <c r="MG5" s="16" t="str">
        <f t="shared" si="24"/>
        <v>มิ.ย.</v>
      </c>
      <c r="MH5" s="16" t="str">
        <f t="shared" si="24"/>
        <v>ก.ค.</v>
      </c>
      <c r="MI5" s="16" t="str">
        <f t="shared" si="24"/>
        <v>ส.ค.</v>
      </c>
      <c r="MJ5" s="16" t="str">
        <f t="shared" si="24"/>
        <v>ก.ย.</v>
      </c>
      <c r="MK5" s="17" t="s">
        <v>16</v>
      </c>
      <c r="ML5" s="16" t="str">
        <f>+LY5</f>
        <v>ต.ค.</v>
      </c>
      <c r="MM5" s="16" t="str">
        <f t="shared" ref="MM5:MW5" si="25">+LZ5</f>
        <v>พ.ย.</v>
      </c>
      <c r="MN5" s="16" t="str">
        <f t="shared" si="25"/>
        <v>ธ.ค.</v>
      </c>
      <c r="MO5" s="16" t="str">
        <f t="shared" si="25"/>
        <v>ม.ค.</v>
      </c>
      <c r="MP5" s="16" t="str">
        <f t="shared" si="25"/>
        <v>ก.พ.</v>
      </c>
      <c r="MQ5" s="16" t="str">
        <f t="shared" si="25"/>
        <v>มี.ค.</v>
      </c>
      <c r="MR5" s="16" t="str">
        <f t="shared" si="25"/>
        <v>เม.ย.</v>
      </c>
      <c r="MS5" s="16" t="str">
        <f t="shared" si="25"/>
        <v>พ.ค.</v>
      </c>
      <c r="MT5" s="16" t="str">
        <f t="shared" si="25"/>
        <v>มิ.ย.</v>
      </c>
      <c r="MU5" s="16" t="str">
        <f t="shared" si="25"/>
        <v>ก.ค.</v>
      </c>
      <c r="MV5" s="16" t="str">
        <f t="shared" si="25"/>
        <v>ส.ค.</v>
      </c>
      <c r="MW5" s="16" t="str">
        <f t="shared" si="25"/>
        <v>ก.ย.</v>
      </c>
      <c r="MX5" s="17" t="s">
        <v>16</v>
      </c>
      <c r="MY5" s="88"/>
      <c r="MZ5" s="16" t="str">
        <f>+ML5</f>
        <v>ต.ค.</v>
      </c>
      <c r="NA5" s="16" t="str">
        <f t="shared" ref="NA5:NK5" si="26">+MM5</f>
        <v>พ.ย.</v>
      </c>
      <c r="NB5" s="16" t="str">
        <f t="shared" si="26"/>
        <v>ธ.ค.</v>
      </c>
      <c r="NC5" s="16" t="str">
        <f t="shared" si="26"/>
        <v>ม.ค.</v>
      </c>
      <c r="ND5" s="16" t="str">
        <f t="shared" si="26"/>
        <v>ก.พ.</v>
      </c>
      <c r="NE5" s="16" t="str">
        <f t="shared" si="26"/>
        <v>มี.ค.</v>
      </c>
      <c r="NF5" s="16" t="str">
        <f t="shared" si="26"/>
        <v>เม.ย.</v>
      </c>
      <c r="NG5" s="16" t="str">
        <f t="shared" si="26"/>
        <v>พ.ค.</v>
      </c>
      <c r="NH5" s="16" t="str">
        <f t="shared" si="26"/>
        <v>มิ.ย.</v>
      </c>
      <c r="NI5" s="16" t="str">
        <f t="shared" si="26"/>
        <v>ก.ค.</v>
      </c>
      <c r="NJ5" s="16" t="str">
        <f t="shared" si="26"/>
        <v>ส.ค.</v>
      </c>
      <c r="NK5" s="16" t="str">
        <f t="shared" si="26"/>
        <v>ก.ย.</v>
      </c>
      <c r="NL5" s="17" t="s">
        <v>16</v>
      </c>
      <c r="NM5" s="16" t="str">
        <f>+MZ5</f>
        <v>ต.ค.</v>
      </c>
      <c r="NN5" s="16" t="str">
        <f t="shared" ref="NN5:NX5" si="27">+NA5</f>
        <v>พ.ย.</v>
      </c>
      <c r="NO5" s="16" t="str">
        <f t="shared" si="27"/>
        <v>ธ.ค.</v>
      </c>
      <c r="NP5" s="16" t="str">
        <f t="shared" si="27"/>
        <v>ม.ค.</v>
      </c>
      <c r="NQ5" s="16" t="str">
        <f t="shared" si="27"/>
        <v>ก.พ.</v>
      </c>
      <c r="NR5" s="16" t="str">
        <f t="shared" si="27"/>
        <v>มี.ค.</v>
      </c>
      <c r="NS5" s="16" t="str">
        <f t="shared" si="27"/>
        <v>เม.ย.</v>
      </c>
      <c r="NT5" s="16" t="str">
        <f t="shared" si="27"/>
        <v>พ.ค.</v>
      </c>
      <c r="NU5" s="16" t="str">
        <f t="shared" si="27"/>
        <v>มิ.ย.</v>
      </c>
      <c r="NV5" s="16" t="str">
        <f t="shared" si="27"/>
        <v>ก.ค.</v>
      </c>
      <c r="NW5" s="16" t="str">
        <f t="shared" si="27"/>
        <v>ส.ค.</v>
      </c>
      <c r="NX5" s="16" t="str">
        <f t="shared" si="27"/>
        <v>ก.ย.</v>
      </c>
      <c r="NY5" s="17" t="s">
        <v>16</v>
      </c>
      <c r="NZ5" s="16" t="str">
        <f>+NM5</f>
        <v>ต.ค.</v>
      </c>
      <c r="OA5" s="16" t="str">
        <f t="shared" ref="OA5:OK5" si="28">+NN5</f>
        <v>พ.ย.</v>
      </c>
      <c r="OB5" s="16" t="str">
        <f t="shared" si="28"/>
        <v>ธ.ค.</v>
      </c>
      <c r="OC5" s="16" t="str">
        <f t="shared" si="28"/>
        <v>ม.ค.</v>
      </c>
      <c r="OD5" s="16" t="str">
        <f t="shared" si="28"/>
        <v>ก.พ.</v>
      </c>
      <c r="OE5" s="16" t="str">
        <f t="shared" si="28"/>
        <v>มี.ค.</v>
      </c>
      <c r="OF5" s="16" t="str">
        <f t="shared" si="28"/>
        <v>เม.ย.</v>
      </c>
      <c r="OG5" s="16" t="str">
        <f t="shared" si="28"/>
        <v>พ.ค.</v>
      </c>
      <c r="OH5" s="16" t="str">
        <f t="shared" si="28"/>
        <v>มิ.ย.</v>
      </c>
      <c r="OI5" s="16" t="str">
        <f t="shared" si="28"/>
        <v>ก.ค.</v>
      </c>
      <c r="OJ5" s="16" t="str">
        <f t="shared" si="28"/>
        <v>ส.ค.</v>
      </c>
      <c r="OK5" s="16" t="str">
        <f t="shared" si="28"/>
        <v>ก.ย.</v>
      </c>
      <c r="OL5" s="17" t="s">
        <v>16</v>
      </c>
      <c r="OM5" s="88"/>
      <c r="ON5" s="16" t="str">
        <f>+NZ5</f>
        <v>ต.ค.</v>
      </c>
      <c r="OO5" s="16" t="str">
        <f t="shared" ref="OO5:OY5" si="29">+OA5</f>
        <v>พ.ย.</v>
      </c>
      <c r="OP5" s="16" t="str">
        <f t="shared" si="29"/>
        <v>ธ.ค.</v>
      </c>
      <c r="OQ5" s="16" t="str">
        <f t="shared" si="29"/>
        <v>ม.ค.</v>
      </c>
      <c r="OR5" s="16" t="str">
        <f t="shared" si="29"/>
        <v>ก.พ.</v>
      </c>
      <c r="OS5" s="16" t="str">
        <f t="shared" si="29"/>
        <v>มี.ค.</v>
      </c>
      <c r="OT5" s="16" t="str">
        <f t="shared" si="29"/>
        <v>เม.ย.</v>
      </c>
      <c r="OU5" s="16" t="str">
        <f t="shared" si="29"/>
        <v>พ.ค.</v>
      </c>
      <c r="OV5" s="16" t="str">
        <f t="shared" si="29"/>
        <v>มิ.ย.</v>
      </c>
      <c r="OW5" s="16" t="str">
        <f t="shared" si="29"/>
        <v>ก.ค.</v>
      </c>
      <c r="OX5" s="16" t="str">
        <f t="shared" si="29"/>
        <v>ส.ค.</v>
      </c>
      <c r="OY5" s="16" t="str">
        <f t="shared" si="29"/>
        <v>ก.ย.</v>
      </c>
      <c r="OZ5" s="17" t="s">
        <v>16</v>
      </c>
      <c r="PA5" s="16" t="str">
        <f>+ON5</f>
        <v>ต.ค.</v>
      </c>
      <c r="PB5" s="16" t="str">
        <f t="shared" ref="PB5:PL5" si="30">+OO5</f>
        <v>พ.ย.</v>
      </c>
      <c r="PC5" s="16" t="str">
        <f t="shared" si="30"/>
        <v>ธ.ค.</v>
      </c>
      <c r="PD5" s="16" t="str">
        <f t="shared" si="30"/>
        <v>ม.ค.</v>
      </c>
      <c r="PE5" s="16" t="str">
        <f t="shared" si="30"/>
        <v>ก.พ.</v>
      </c>
      <c r="PF5" s="16" t="str">
        <f t="shared" si="30"/>
        <v>มี.ค.</v>
      </c>
      <c r="PG5" s="16" t="str">
        <f t="shared" si="30"/>
        <v>เม.ย.</v>
      </c>
      <c r="PH5" s="16" t="str">
        <f t="shared" si="30"/>
        <v>พ.ค.</v>
      </c>
      <c r="PI5" s="16" t="str">
        <f t="shared" si="30"/>
        <v>มิ.ย.</v>
      </c>
      <c r="PJ5" s="16" t="str">
        <f t="shared" si="30"/>
        <v>ก.ค.</v>
      </c>
      <c r="PK5" s="16" t="str">
        <f t="shared" si="30"/>
        <v>ส.ค.</v>
      </c>
      <c r="PL5" s="16" t="str">
        <f t="shared" si="30"/>
        <v>ก.ย.</v>
      </c>
      <c r="PM5" s="17" t="s">
        <v>16</v>
      </c>
      <c r="PN5" s="16" t="str">
        <f>+PA5</f>
        <v>ต.ค.</v>
      </c>
      <c r="PO5" s="16" t="str">
        <f t="shared" ref="PO5:PY5" si="31">+PB5</f>
        <v>พ.ย.</v>
      </c>
      <c r="PP5" s="16" t="str">
        <f t="shared" si="31"/>
        <v>ธ.ค.</v>
      </c>
      <c r="PQ5" s="16" t="str">
        <f t="shared" si="31"/>
        <v>ม.ค.</v>
      </c>
      <c r="PR5" s="16" t="str">
        <f t="shared" si="31"/>
        <v>ก.พ.</v>
      </c>
      <c r="PS5" s="16" t="str">
        <f t="shared" si="31"/>
        <v>มี.ค.</v>
      </c>
      <c r="PT5" s="16" t="str">
        <f t="shared" si="31"/>
        <v>เม.ย.</v>
      </c>
      <c r="PU5" s="16" t="str">
        <f t="shared" si="31"/>
        <v>พ.ค.</v>
      </c>
      <c r="PV5" s="16" t="str">
        <f t="shared" si="31"/>
        <v>มิ.ย.</v>
      </c>
      <c r="PW5" s="16" t="str">
        <f t="shared" si="31"/>
        <v>ก.ค.</v>
      </c>
      <c r="PX5" s="16" t="str">
        <f t="shared" si="31"/>
        <v>ส.ค.</v>
      </c>
      <c r="PY5" s="16" t="str">
        <f t="shared" si="31"/>
        <v>ก.ย.</v>
      </c>
      <c r="PZ5" s="17" t="s">
        <v>16</v>
      </c>
      <c r="QA5" s="88"/>
      <c r="QB5" s="16" t="str">
        <f>+PN5</f>
        <v>ต.ค.</v>
      </c>
      <c r="QC5" s="16" t="str">
        <f t="shared" ref="QC5:QM5" si="32">+PO5</f>
        <v>พ.ย.</v>
      </c>
      <c r="QD5" s="16" t="str">
        <f t="shared" si="32"/>
        <v>ธ.ค.</v>
      </c>
      <c r="QE5" s="16" t="str">
        <f t="shared" si="32"/>
        <v>ม.ค.</v>
      </c>
      <c r="QF5" s="16" t="str">
        <f t="shared" si="32"/>
        <v>ก.พ.</v>
      </c>
      <c r="QG5" s="16" t="str">
        <f t="shared" si="32"/>
        <v>มี.ค.</v>
      </c>
      <c r="QH5" s="16" t="str">
        <f t="shared" si="32"/>
        <v>เม.ย.</v>
      </c>
      <c r="QI5" s="16" t="str">
        <f t="shared" si="32"/>
        <v>พ.ค.</v>
      </c>
      <c r="QJ5" s="16" t="str">
        <f t="shared" si="32"/>
        <v>มิ.ย.</v>
      </c>
      <c r="QK5" s="16" t="str">
        <f t="shared" si="32"/>
        <v>ก.ค.</v>
      </c>
      <c r="QL5" s="16" t="str">
        <f t="shared" si="32"/>
        <v>ส.ค.</v>
      </c>
      <c r="QM5" s="16" t="str">
        <f t="shared" si="32"/>
        <v>ก.ย.</v>
      </c>
      <c r="QN5" s="17" t="s">
        <v>16</v>
      </c>
      <c r="QO5" s="16" t="str">
        <f>+QB5</f>
        <v>ต.ค.</v>
      </c>
      <c r="QP5" s="16" t="str">
        <f t="shared" ref="QP5:QZ5" si="33">+QC5</f>
        <v>พ.ย.</v>
      </c>
      <c r="QQ5" s="16" t="str">
        <f t="shared" si="33"/>
        <v>ธ.ค.</v>
      </c>
      <c r="QR5" s="16" t="str">
        <f t="shared" si="33"/>
        <v>ม.ค.</v>
      </c>
      <c r="QS5" s="16" t="str">
        <f t="shared" si="33"/>
        <v>ก.พ.</v>
      </c>
      <c r="QT5" s="16" t="str">
        <f t="shared" si="33"/>
        <v>มี.ค.</v>
      </c>
      <c r="QU5" s="16" t="str">
        <f t="shared" si="33"/>
        <v>เม.ย.</v>
      </c>
      <c r="QV5" s="16" t="str">
        <f t="shared" si="33"/>
        <v>พ.ค.</v>
      </c>
      <c r="QW5" s="16" t="str">
        <f t="shared" si="33"/>
        <v>มิ.ย.</v>
      </c>
      <c r="QX5" s="16" t="str">
        <f t="shared" si="33"/>
        <v>ก.ค.</v>
      </c>
      <c r="QY5" s="16" t="str">
        <f t="shared" si="33"/>
        <v>ส.ค.</v>
      </c>
      <c r="QZ5" s="16" t="str">
        <f t="shared" si="33"/>
        <v>ก.ย.</v>
      </c>
      <c r="RA5" s="17" t="s">
        <v>16</v>
      </c>
      <c r="RB5" s="16" t="str">
        <f>+QO5</f>
        <v>ต.ค.</v>
      </c>
      <c r="RC5" s="16" t="str">
        <f t="shared" ref="RC5:RM5" si="34">+QP5</f>
        <v>พ.ย.</v>
      </c>
      <c r="RD5" s="16" t="str">
        <f t="shared" si="34"/>
        <v>ธ.ค.</v>
      </c>
      <c r="RE5" s="16" t="str">
        <f t="shared" si="34"/>
        <v>ม.ค.</v>
      </c>
      <c r="RF5" s="16" t="str">
        <f t="shared" si="34"/>
        <v>ก.พ.</v>
      </c>
      <c r="RG5" s="16" t="str">
        <f t="shared" si="34"/>
        <v>มี.ค.</v>
      </c>
      <c r="RH5" s="16" t="str">
        <f t="shared" si="34"/>
        <v>เม.ย.</v>
      </c>
      <c r="RI5" s="16" t="str">
        <f t="shared" si="34"/>
        <v>พ.ค.</v>
      </c>
      <c r="RJ5" s="16" t="str">
        <f t="shared" si="34"/>
        <v>มิ.ย.</v>
      </c>
      <c r="RK5" s="16" t="str">
        <f t="shared" si="34"/>
        <v>ก.ค.</v>
      </c>
      <c r="RL5" s="16" t="str">
        <f t="shared" si="34"/>
        <v>ส.ค.</v>
      </c>
      <c r="RM5" s="16" t="str">
        <f t="shared" si="34"/>
        <v>ก.ย.</v>
      </c>
      <c r="RN5" s="17" t="s">
        <v>16</v>
      </c>
      <c r="RO5" s="88"/>
      <c r="RP5" s="16" t="str">
        <f>+RB5</f>
        <v>ต.ค.</v>
      </c>
      <c r="RQ5" s="16" t="str">
        <f t="shared" ref="RQ5:SA5" si="35">+RC5</f>
        <v>พ.ย.</v>
      </c>
      <c r="RR5" s="16" t="str">
        <f t="shared" si="35"/>
        <v>ธ.ค.</v>
      </c>
      <c r="RS5" s="16" t="str">
        <f t="shared" si="35"/>
        <v>ม.ค.</v>
      </c>
      <c r="RT5" s="16" t="str">
        <f t="shared" si="35"/>
        <v>ก.พ.</v>
      </c>
      <c r="RU5" s="16" t="str">
        <f t="shared" si="35"/>
        <v>มี.ค.</v>
      </c>
      <c r="RV5" s="16" t="str">
        <f t="shared" si="35"/>
        <v>เม.ย.</v>
      </c>
      <c r="RW5" s="16" t="str">
        <f t="shared" si="35"/>
        <v>พ.ค.</v>
      </c>
      <c r="RX5" s="16" t="str">
        <f t="shared" si="35"/>
        <v>มิ.ย.</v>
      </c>
      <c r="RY5" s="16" t="str">
        <f t="shared" si="35"/>
        <v>ก.ค.</v>
      </c>
      <c r="RZ5" s="16" t="str">
        <f t="shared" si="35"/>
        <v>ส.ค.</v>
      </c>
      <c r="SA5" s="16" t="str">
        <f t="shared" si="35"/>
        <v>ก.ย.</v>
      </c>
      <c r="SB5" s="17" t="s">
        <v>16</v>
      </c>
      <c r="SC5" s="16" t="str">
        <f>+RP5</f>
        <v>ต.ค.</v>
      </c>
      <c r="SD5" s="16" t="str">
        <f t="shared" ref="SD5:SN5" si="36">+RQ5</f>
        <v>พ.ย.</v>
      </c>
      <c r="SE5" s="16" t="str">
        <f t="shared" si="36"/>
        <v>ธ.ค.</v>
      </c>
      <c r="SF5" s="16" t="str">
        <f t="shared" si="36"/>
        <v>ม.ค.</v>
      </c>
      <c r="SG5" s="16" t="str">
        <f t="shared" si="36"/>
        <v>ก.พ.</v>
      </c>
      <c r="SH5" s="16" t="str">
        <f t="shared" si="36"/>
        <v>มี.ค.</v>
      </c>
      <c r="SI5" s="16" t="str">
        <f t="shared" si="36"/>
        <v>เม.ย.</v>
      </c>
      <c r="SJ5" s="16" t="str">
        <f t="shared" si="36"/>
        <v>พ.ค.</v>
      </c>
      <c r="SK5" s="16" t="str">
        <f t="shared" si="36"/>
        <v>มิ.ย.</v>
      </c>
      <c r="SL5" s="16" t="str">
        <f t="shared" si="36"/>
        <v>ก.ค.</v>
      </c>
      <c r="SM5" s="16" t="str">
        <f t="shared" si="36"/>
        <v>ส.ค.</v>
      </c>
      <c r="SN5" s="16" t="str">
        <f t="shared" si="36"/>
        <v>ก.ย.</v>
      </c>
      <c r="SO5" s="17" t="s">
        <v>16</v>
      </c>
      <c r="SP5" s="16" t="str">
        <f>+SC5</f>
        <v>ต.ค.</v>
      </c>
      <c r="SQ5" s="16" t="str">
        <f t="shared" ref="SQ5:TA5" si="37">+SD5</f>
        <v>พ.ย.</v>
      </c>
      <c r="SR5" s="16" t="str">
        <f t="shared" si="37"/>
        <v>ธ.ค.</v>
      </c>
      <c r="SS5" s="16" t="str">
        <f t="shared" si="37"/>
        <v>ม.ค.</v>
      </c>
      <c r="ST5" s="16" t="str">
        <f t="shared" si="37"/>
        <v>ก.พ.</v>
      </c>
      <c r="SU5" s="16" t="str">
        <f t="shared" si="37"/>
        <v>มี.ค.</v>
      </c>
      <c r="SV5" s="16" t="str">
        <f t="shared" si="37"/>
        <v>เม.ย.</v>
      </c>
      <c r="SW5" s="16" t="str">
        <f t="shared" si="37"/>
        <v>พ.ค.</v>
      </c>
      <c r="SX5" s="16" t="str">
        <f t="shared" si="37"/>
        <v>มิ.ย.</v>
      </c>
      <c r="SY5" s="16" t="str">
        <f t="shared" si="37"/>
        <v>ก.ค.</v>
      </c>
      <c r="SZ5" s="16" t="str">
        <f t="shared" si="37"/>
        <v>ส.ค.</v>
      </c>
      <c r="TA5" s="16" t="str">
        <f t="shared" si="37"/>
        <v>ก.ย.</v>
      </c>
      <c r="TB5" s="17" t="s">
        <v>16</v>
      </c>
      <c r="TC5" s="88"/>
      <c r="TD5" s="16" t="str">
        <f>+SP5</f>
        <v>ต.ค.</v>
      </c>
      <c r="TE5" s="16" t="str">
        <f t="shared" ref="TE5:TO5" si="38">+SQ5</f>
        <v>พ.ย.</v>
      </c>
      <c r="TF5" s="16" t="str">
        <f t="shared" si="38"/>
        <v>ธ.ค.</v>
      </c>
      <c r="TG5" s="16" t="str">
        <f t="shared" si="38"/>
        <v>ม.ค.</v>
      </c>
      <c r="TH5" s="16" t="str">
        <f t="shared" si="38"/>
        <v>ก.พ.</v>
      </c>
      <c r="TI5" s="16" t="str">
        <f t="shared" si="38"/>
        <v>มี.ค.</v>
      </c>
      <c r="TJ5" s="16" t="str">
        <f t="shared" si="38"/>
        <v>เม.ย.</v>
      </c>
      <c r="TK5" s="16" t="str">
        <f t="shared" si="38"/>
        <v>พ.ค.</v>
      </c>
      <c r="TL5" s="16" t="str">
        <f t="shared" si="38"/>
        <v>มิ.ย.</v>
      </c>
      <c r="TM5" s="16" t="str">
        <f t="shared" si="38"/>
        <v>ก.ค.</v>
      </c>
      <c r="TN5" s="16" t="str">
        <f t="shared" si="38"/>
        <v>ส.ค.</v>
      </c>
      <c r="TO5" s="16" t="str">
        <f t="shared" si="38"/>
        <v>ก.ย.</v>
      </c>
      <c r="TP5" s="17" t="s">
        <v>16</v>
      </c>
      <c r="TQ5" s="16" t="str">
        <f>+TD5</f>
        <v>ต.ค.</v>
      </c>
      <c r="TR5" s="16" t="str">
        <f t="shared" ref="TR5:UA5" si="39">+TE5</f>
        <v>พ.ย.</v>
      </c>
      <c r="TS5" s="16" t="str">
        <f t="shared" si="39"/>
        <v>ธ.ค.</v>
      </c>
      <c r="TT5" s="16" t="str">
        <f t="shared" si="39"/>
        <v>ม.ค.</v>
      </c>
      <c r="TU5" s="16" t="str">
        <f t="shared" si="39"/>
        <v>ก.พ.</v>
      </c>
      <c r="TV5" s="16" t="str">
        <f t="shared" si="39"/>
        <v>มี.ค.</v>
      </c>
      <c r="TW5" s="16" t="str">
        <f t="shared" si="39"/>
        <v>เม.ย.</v>
      </c>
      <c r="TX5" s="16" t="str">
        <f t="shared" si="39"/>
        <v>พ.ค.</v>
      </c>
      <c r="TY5" s="16" t="str">
        <f t="shared" si="39"/>
        <v>มิ.ย.</v>
      </c>
      <c r="TZ5" s="16" t="str">
        <f t="shared" si="39"/>
        <v>ก.ค.</v>
      </c>
      <c r="UA5" s="16" t="str">
        <f t="shared" si="39"/>
        <v>ส.ค.</v>
      </c>
      <c r="UB5" s="16" t="str">
        <f>+TO5</f>
        <v>ก.ย.</v>
      </c>
      <c r="UC5" s="17" t="s">
        <v>16</v>
      </c>
      <c r="UD5" s="16" t="str">
        <f>+TQ5</f>
        <v>ต.ค.</v>
      </c>
      <c r="UE5" s="16" t="str">
        <f t="shared" ref="UE5:UO5" si="40">+TR5</f>
        <v>พ.ย.</v>
      </c>
      <c r="UF5" s="16" t="str">
        <f t="shared" si="40"/>
        <v>ธ.ค.</v>
      </c>
      <c r="UG5" s="16" t="str">
        <f t="shared" si="40"/>
        <v>ม.ค.</v>
      </c>
      <c r="UH5" s="16" t="str">
        <f t="shared" si="40"/>
        <v>ก.พ.</v>
      </c>
      <c r="UI5" s="16" t="str">
        <f t="shared" si="40"/>
        <v>มี.ค.</v>
      </c>
      <c r="UJ5" s="16" t="str">
        <f t="shared" si="40"/>
        <v>เม.ย.</v>
      </c>
      <c r="UK5" s="16" t="str">
        <f t="shared" si="40"/>
        <v>พ.ค.</v>
      </c>
      <c r="UL5" s="16" t="str">
        <f t="shared" si="40"/>
        <v>มิ.ย.</v>
      </c>
      <c r="UM5" s="16" t="str">
        <f t="shared" si="40"/>
        <v>ก.ค.</v>
      </c>
      <c r="UN5" s="16" t="str">
        <f t="shared" si="40"/>
        <v>ส.ค.</v>
      </c>
      <c r="UO5" s="16" t="str">
        <f t="shared" si="40"/>
        <v>ก.ย.</v>
      </c>
      <c r="UP5" s="17" t="s">
        <v>16</v>
      </c>
      <c r="UQ5" s="88"/>
      <c r="UR5" s="16" t="str">
        <f>+UD5</f>
        <v>ต.ค.</v>
      </c>
      <c r="US5" s="16" t="str">
        <f t="shared" ref="US5:VC5" si="41">+UE5</f>
        <v>พ.ย.</v>
      </c>
      <c r="UT5" s="16" t="str">
        <f t="shared" si="41"/>
        <v>ธ.ค.</v>
      </c>
      <c r="UU5" s="16" t="str">
        <f t="shared" si="41"/>
        <v>ม.ค.</v>
      </c>
      <c r="UV5" s="16" t="str">
        <f t="shared" si="41"/>
        <v>ก.พ.</v>
      </c>
      <c r="UW5" s="16" t="str">
        <f t="shared" si="41"/>
        <v>มี.ค.</v>
      </c>
      <c r="UX5" s="16" t="str">
        <f t="shared" si="41"/>
        <v>เม.ย.</v>
      </c>
      <c r="UY5" s="16" t="str">
        <f t="shared" si="41"/>
        <v>พ.ค.</v>
      </c>
      <c r="UZ5" s="16" t="str">
        <f t="shared" si="41"/>
        <v>มิ.ย.</v>
      </c>
      <c r="VA5" s="16" t="str">
        <f t="shared" si="41"/>
        <v>ก.ค.</v>
      </c>
      <c r="VB5" s="16" t="str">
        <f t="shared" si="41"/>
        <v>ส.ค.</v>
      </c>
      <c r="VC5" s="16" t="str">
        <f t="shared" si="41"/>
        <v>ก.ย.</v>
      </c>
      <c r="VD5" s="17" t="s">
        <v>16</v>
      </c>
      <c r="VE5" s="16" t="str">
        <f>+UR5</f>
        <v>ต.ค.</v>
      </c>
      <c r="VF5" s="16" t="str">
        <f t="shared" ref="VF5:VP5" si="42">+US5</f>
        <v>พ.ย.</v>
      </c>
      <c r="VG5" s="16" t="str">
        <f t="shared" si="42"/>
        <v>ธ.ค.</v>
      </c>
      <c r="VH5" s="16" t="str">
        <f t="shared" si="42"/>
        <v>ม.ค.</v>
      </c>
      <c r="VI5" s="16" t="str">
        <f t="shared" si="42"/>
        <v>ก.พ.</v>
      </c>
      <c r="VJ5" s="16" t="str">
        <f t="shared" si="42"/>
        <v>มี.ค.</v>
      </c>
      <c r="VK5" s="16" t="str">
        <f t="shared" si="42"/>
        <v>เม.ย.</v>
      </c>
      <c r="VL5" s="16" t="str">
        <f t="shared" si="42"/>
        <v>พ.ค.</v>
      </c>
      <c r="VM5" s="16" t="str">
        <f t="shared" si="42"/>
        <v>มิ.ย.</v>
      </c>
      <c r="VN5" s="16" t="str">
        <f t="shared" si="42"/>
        <v>ก.ค.</v>
      </c>
      <c r="VO5" s="16" t="str">
        <f t="shared" si="42"/>
        <v>ส.ค.</v>
      </c>
      <c r="VP5" s="16" t="str">
        <f t="shared" si="42"/>
        <v>ก.ย.</v>
      </c>
      <c r="VQ5" s="17" t="s">
        <v>16</v>
      </c>
      <c r="VR5" s="16" t="str">
        <f>+VE5</f>
        <v>ต.ค.</v>
      </c>
      <c r="VS5" s="16" t="str">
        <f t="shared" ref="VS5" si="43">+VF5</f>
        <v>พ.ย.</v>
      </c>
      <c r="VT5" s="16" t="str">
        <f t="shared" ref="VT5" si="44">+VG5</f>
        <v>ธ.ค.</v>
      </c>
      <c r="VU5" s="16" t="str">
        <f t="shared" ref="VU5" si="45">+VH5</f>
        <v>ม.ค.</v>
      </c>
      <c r="VV5" s="16" t="str">
        <f t="shared" ref="VV5" si="46">+VI5</f>
        <v>ก.พ.</v>
      </c>
      <c r="VW5" s="16" t="str">
        <f t="shared" ref="VW5" si="47">+VJ5</f>
        <v>มี.ค.</v>
      </c>
      <c r="VX5" s="16" t="str">
        <f t="shared" ref="VX5" si="48">+VK5</f>
        <v>เม.ย.</v>
      </c>
      <c r="VY5" s="16" t="str">
        <f t="shared" ref="VY5" si="49">+VL5</f>
        <v>พ.ค.</v>
      </c>
      <c r="VZ5" s="16" t="str">
        <f t="shared" ref="VZ5" si="50">+VM5</f>
        <v>มิ.ย.</v>
      </c>
      <c r="WA5" s="16" t="str">
        <f t="shared" ref="WA5" si="51">+VN5</f>
        <v>ก.ค.</v>
      </c>
      <c r="WB5" s="16" t="str">
        <f t="shared" ref="WB5" si="52">+VO5</f>
        <v>ส.ค.</v>
      </c>
      <c r="WC5" s="16" t="str">
        <f t="shared" ref="WC5" si="53">+VP5</f>
        <v>ก.ย.</v>
      </c>
      <c r="WD5" s="17" t="s">
        <v>16</v>
      </c>
      <c r="WE5" s="16" t="str">
        <f>+VR5</f>
        <v>ต.ค.</v>
      </c>
      <c r="WF5" s="16" t="str">
        <f t="shared" ref="WF5" si="54">+VS5</f>
        <v>พ.ย.</v>
      </c>
      <c r="WG5" s="16" t="str">
        <f t="shared" ref="WG5" si="55">+VT5</f>
        <v>ธ.ค.</v>
      </c>
      <c r="WH5" s="16" t="str">
        <f t="shared" ref="WH5" si="56">+VU5</f>
        <v>ม.ค.</v>
      </c>
      <c r="WI5" s="16" t="str">
        <f t="shared" ref="WI5" si="57">+VV5</f>
        <v>ก.พ.</v>
      </c>
      <c r="WJ5" s="16" t="str">
        <f t="shared" ref="WJ5" si="58">+VW5</f>
        <v>มี.ค.</v>
      </c>
      <c r="WK5" s="16" t="str">
        <f t="shared" ref="WK5" si="59">+VX5</f>
        <v>เม.ย.</v>
      </c>
      <c r="WL5" s="16" t="str">
        <f t="shared" ref="WL5" si="60">+VY5</f>
        <v>พ.ค.</v>
      </c>
      <c r="WM5" s="16" t="str">
        <f t="shared" ref="WM5" si="61">+VZ5</f>
        <v>มิ.ย.</v>
      </c>
      <c r="WN5" s="16" t="str">
        <f t="shared" ref="WN5" si="62">+WA5</f>
        <v>ก.ค.</v>
      </c>
      <c r="WO5" s="16" t="str">
        <f t="shared" ref="WO5" si="63">+WB5</f>
        <v>ส.ค.</v>
      </c>
      <c r="WP5" s="16" t="str">
        <f t="shared" ref="WP5" si="64">+WC5</f>
        <v>ก.ย.</v>
      </c>
      <c r="WQ5" s="17" t="s">
        <v>16</v>
      </c>
      <c r="WR5" s="16" t="str">
        <f>+WE5</f>
        <v>ต.ค.</v>
      </c>
      <c r="WS5" s="16" t="str">
        <f t="shared" ref="WS5" si="65">+WF5</f>
        <v>พ.ย.</v>
      </c>
      <c r="WT5" s="16" t="str">
        <f t="shared" ref="WT5" si="66">+WG5</f>
        <v>ธ.ค.</v>
      </c>
      <c r="WU5" s="16" t="str">
        <f t="shared" ref="WU5" si="67">+WH5</f>
        <v>ม.ค.</v>
      </c>
      <c r="WV5" s="16" t="str">
        <f t="shared" ref="WV5" si="68">+WI5</f>
        <v>ก.พ.</v>
      </c>
      <c r="WW5" s="16" t="str">
        <f t="shared" ref="WW5" si="69">+WJ5</f>
        <v>มี.ค.</v>
      </c>
      <c r="WX5" s="16" t="str">
        <f t="shared" ref="WX5" si="70">+WK5</f>
        <v>เม.ย.</v>
      </c>
      <c r="WY5" s="16" t="str">
        <f t="shared" ref="WY5" si="71">+WL5</f>
        <v>พ.ค.</v>
      </c>
      <c r="WZ5" s="16" t="str">
        <f t="shared" ref="WZ5" si="72">+WM5</f>
        <v>มิ.ย.</v>
      </c>
      <c r="XA5" s="16" t="str">
        <f t="shared" ref="XA5" si="73">+WN5</f>
        <v>ก.ค.</v>
      </c>
      <c r="XB5" s="16" t="str">
        <f t="shared" ref="XB5" si="74">+WO5</f>
        <v>ส.ค.</v>
      </c>
      <c r="XC5" s="16" t="str">
        <f t="shared" ref="XC5" si="75">+WP5</f>
        <v>ก.ย.</v>
      </c>
      <c r="XD5" s="17" t="s">
        <v>16</v>
      </c>
      <c r="XE5" s="16" t="str">
        <f>+WR5</f>
        <v>ต.ค.</v>
      </c>
      <c r="XF5" s="16" t="str">
        <f t="shared" ref="XF5" si="76">+WS5</f>
        <v>พ.ย.</v>
      </c>
      <c r="XG5" s="16" t="str">
        <f t="shared" ref="XG5" si="77">+WT5</f>
        <v>ธ.ค.</v>
      </c>
      <c r="XH5" s="16" t="str">
        <f t="shared" ref="XH5" si="78">+WU5</f>
        <v>ม.ค.</v>
      </c>
      <c r="XI5" s="16" t="str">
        <f t="shared" ref="XI5" si="79">+WV5</f>
        <v>ก.พ.</v>
      </c>
      <c r="XJ5" s="16" t="str">
        <f t="shared" ref="XJ5" si="80">+WW5</f>
        <v>มี.ค.</v>
      </c>
      <c r="XK5" s="16" t="str">
        <f t="shared" ref="XK5" si="81">+WX5</f>
        <v>เม.ย.</v>
      </c>
      <c r="XL5" s="16" t="str">
        <f t="shared" ref="XL5" si="82">+WY5</f>
        <v>พ.ค.</v>
      </c>
      <c r="XM5" s="16" t="str">
        <f t="shared" ref="XM5" si="83">+WZ5</f>
        <v>มิ.ย.</v>
      </c>
      <c r="XN5" s="16" t="str">
        <f t="shared" ref="XN5" si="84">+XA5</f>
        <v>ก.ค.</v>
      </c>
      <c r="XO5" s="16" t="str">
        <f t="shared" ref="XO5" si="85">+XB5</f>
        <v>ส.ค.</v>
      </c>
      <c r="XP5" s="16" t="str">
        <f t="shared" ref="XP5" si="86">+XC5</f>
        <v>ก.ย.</v>
      </c>
      <c r="XQ5" s="17" t="s">
        <v>16</v>
      </c>
      <c r="XR5" s="88"/>
      <c r="XS5" s="24"/>
    </row>
    <row r="6" spans="1:643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>
        <f>SUM(AR6:BC6)</f>
        <v>0</v>
      </c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>
        <f>SUM(BE6:BP6)</f>
        <v>0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f>SUM(BR6:CC6)</f>
        <v>0</v>
      </c>
      <c r="CE6" s="4">
        <f>+BD6+BQ6+CD6</f>
        <v>0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>
        <f>SUM(CF6:CQ6)</f>
        <v>0</v>
      </c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>
        <f>SUM(CS6:DD6)</f>
        <v>0</v>
      </c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>
        <f>SUM(DF6:DQ6)</f>
        <v>0</v>
      </c>
      <c r="DS6" s="4">
        <f>+CR6+DE6+DR6</f>
        <v>0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>
        <f>SUM(DT6:EE6)</f>
        <v>0</v>
      </c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f>SUM(EG6:ER6)</f>
        <v>0</v>
      </c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>
        <f>SUM(ET6:FE6)</f>
        <v>0</v>
      </c>
      <c r="FG6" s="4">
        <f>+EF6+ES6+FF6</f>
        <v>0</v>
      </c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>
        <f>SUM(FH6:FS6)</f>
        <v>0</v>
      </c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f>SUM(FU6:GF6)</f>
        <v>0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>
        <f>SUM(GH6:GS6)</f>
        <v>0</v>
      </c>
      <c r="GU6" s="4">
        <f>+FT6+GG6+GT6</f>
        <v>0</v>
      </c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>
        <f>SUM(GV6:HG6)</f>
        <v>0</v>
      </c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>
        <f>SUM(HI6:HT6)</f>
        <v>0</v>
      </c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>
        <f>SUM(HV6:IG6)</f>
        <v>0</v>
      </c>
      <c r="II6" s="4">
        <f>+HH6+HU6+IH6</f>
        <v>0</v>
      </c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>
        <f>SUM(IJ6:IU6)</f>
        <v>0</v>
      </c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>
        <f>SUM(IW6:JH6)</f>
        <v>0</v>
      </c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>
        <f>SUM(JJ6:JU6)</f>
        <v>0</v>
      </c>
      <c r="JW6" s="4">
        <f>+IV6+JI6+JV6</f>
        <v>0</v>
      </c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>
        <f>SUM(JX6:KI6)</f>
        <v>0</v>
      </c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>
        <f>SUM(KK6:KV6)</f>
        <v>0</v>
      </c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>
        <f>SUM(KX6:LI6)</f>
        <v>0</v>
      </c>
      <c r="LK6" s="4">
        <f>+KJ6+KW6+LJ6</f>
        <v>0</v>
      </c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>
        <f>SUM(LL6:LW6)</f>
        <v>0</v>
      </c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>
        <f>SUM(LY6:MJ6)</f>
        <v>0</v>
      </c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>
        <f>SUM(ML6:MW6)</f>
        <v>0</v>
      </c>
      <c r="MY6" s="4">
        <f>+LX6+MK6+MX6</f>
        <v>0</v>
      </c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>
        <f>SUM(MZ6:NK6)</f>
        <v>0</v>
      </c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>
        <f>SUM(NM6:NX6)</f>
        <v>0</v>
      </c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>
        <f>SUM(NZ6:OK6)</f>
        <v>0</v>
      </c>
      <c r="OM6" s="4">
        <f>+NL6+NY6+OL6</f>
        <v>0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>
        <f>SUM(ON6:OY6)</f>
        <v>0</v>
      </c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>
        <f>SUM(PA6:PL6)</f>
        <v>0</v>
      </c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>
        <f>SUM(PN6:PY6)</f>
        <v>0</v>
      </c>
      <c r="QA6" s="4">
        <f>+OZ6+PM6+PZ6</f>
        <v>0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f>SUM(QB6:QM6)</f>
        <v>0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>
        <f>SUM(QO6:QZ6)</f>
        <v>0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>
        <f>SUM(RB6:RM6)</f>
        <v>0</v>
      </c>
      <c r="RO6" s="4">
        <f>+QN6+RA6+RN6</f>
        <v>0</v>
      </c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>
        <f>SUM(RP6:SA6)</f>
        <v>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>
        <f>SUM(SC6:SN6)</f>
        <v>0</v>
      </c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f>SUM(SP6:TA6)</f>
        <v>0</v>
      </c>
      <c r="TC6" s="4">
        <f>+SB6+SO6+TB6</f>
        <v>0</v>
      </c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>
        <f>SUM(TD6:TO6)</f>
        <v>0</v>
      </c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f>SUM(TQ6:UB6)</f>
        <v>0</v>
      </c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>
        <f>SUM(UD6:UO6)</f>
        <v>0</v>
      </c>
      <c r="UQ6" s="4">
        <f>+TP6+UC6+UP6</f>
        <v>0</v>
      </c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>
        <f>SUM(UR6:VC6)</f>
        <v>0</v>
      </c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>
        <f>SUM(VE6:VP6)</f>
        <v>0</v>
      </c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>
        <f>SUM(VR6:WC6)</f>
        <v>0</v>
      </c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>
        <f>SUM(WE6:WP6)</f>
        <v>0</v>
      </c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>
        <f>SUM(WR6:XC6)</f>
        <v>0</v>
      </c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>
        <f>SUM(XE6:XP6)</f>
        <v>0</v>
      </c>
      <c r="XR6" s="4">
        <f t="shared" ref="XR6:XR22" si="87">+VD6+VQ6+WD6+WQ6+XD6+XQ6</f>
        <v>0</v>
      </c>
      <c r="XS6" s="13">
        <f>+AQ6+CE6+DS6+FG6+GU6+II6+JW6+LK6+MY6+OM6+QA6+RO6+TC6+UQ6+XR6</f>
        <v>0</v>
      </c>
    </row>
    <row r="7" spans="1:643" hidden="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88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89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90">SUM(AD7:AO7)</f>
        <v>0</v>
      </c>
      <c r="AQ7" s="4">
        <f t="shared" ref="AQ7:AQ40" si="91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92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93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94">SUM(BR7:CC7)</f>
        <v>0</v>
      </c>
      <c r="CE7" s="4">
        <f t="shared" ref="CE7:CE40" si="95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96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97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98">SUM(DF7:DQ7)</f>
        <v>0</v>
      </c>
      <c r="DS7" s="4">
        <f t="shared" ref="DS7:DS40" si="99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100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101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102">SUM(ET7:FE7)</f>
        <v>0</v>
      </c>
      <c r="FG7" s="4">
        <f t="shared" ref="FG7:FG40" si="103">+EF7+ES7+FF7</f>
        <v>0</v>
      </c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>
        <f t="shared" ref="FT7:FT40" si="104">SUM(FH7:FS7)</f>
        <v>0</v>
      </c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f t="shared" ref="GG7:GG40" si="105">SUM(FU7:GF7)</f>
        <v>0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>
        <f t="shared" ref="GT7:GT40" si="106">SUM(GH7:GS7)</f>
        <v>0</v>
      </c>
      <c r="GU7" s="4">
        <f t="shared" ref="GU7:GU40" si="107">+FT7+GG7+GT7</f>
        <v>0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 t="shared" ref="HH7:HH40" si="108">SUM(GV7:HG7)</f>
        <v>0</v>
      </c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>
        <f t="shared" ref="HU7:HU40" si="109">SUM(HI7:HT7)</f>
        <v>0</v>
      </c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>
        <f t="shared" ref="IH7:IH40" si="110">SUM(HV7:IG7)</f>
        <v>0</v>
      </c>
      <c r="II7" s="4">
        <f t="shared" ref="II7:II40" si="111">+HH7+HU7+IH7</f>
        <v>0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112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113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114">SUM(JJ7:JU7)</f>
        <v>0</v>
      </c>
      <c r="JW7" s="4">
        <f t="shared" ref="JW7:JW40" si="115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116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117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118">SUM(KX7:LI7)</f>
        <v>0</v>
      </c>
      <c r="LK7" s="4">
        <f t="shared" ref="LK7:LK40" si="119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120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121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122">SUM(ML7:MW7)</f>
        <v>0</v>
      </c>
      <c r="MY7" s="4">
        <f t="shared" ref="MY7:MY40" si="123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 t="shared" ref="NL7:NL40" si="124">SUM(MZ7:NK7)</f>
        <v>0</v>
      </c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>
        <f t="shared" ref="NY7:NY40" si="125">SUM(NM7:NX7)</f>
        <v>0</v>
      </c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>
        <f t="shared" ref="OL7:OL40" si="126">SUM(NZ7:OK7)</f>
        <v>0</v>
      </c>
      <c r="OM7" s="4">
        <f t="shared" ref="OM7:OM40" si="127">+NL7+NY7+OL7</f>
        <v>0</v>
      </c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>
        <f t="shared" ref="OZ7:OZ40" si="128">SUM(ON7:OY7)</f>
        <v>0</v>
      </c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>
        <f t="shared" ref="PM7:PM40" si="129">SUM(PA7:PL7)</f>
        <v>0</v>
      </c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>
        <f t="shared" ref="PZ7:PZ40" si="130">SUM(PN7:PY7)</f>
        <v>0</v>
      </c>
      <c r="QA7" s="4">
        <f t="shared" ref="QA7:QA40" si="131">+OZ7+PM7+PZ7</f>
        <v>0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f t="shared" ref="QN7:QN40" si="132">SUM(QB7:QM7)</f>
        <v>0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>
        <f t="shared" ref="RA7:RA40" si="133">SUM(QO7:QZ7)</f>
        <v>0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>
        <f t="shared" ref="RN7:RN40" si="134">SUM(RB7:RM7)</f>
        <v>0</v>
      </c>
      <c r="RO7" s="4">
        <f t="shared" ref="RO7:RO40" si="135">+QN7+RA7+RN7</f>
        <v>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f t="shared" ref="SB7:SB40" si="136">SUM(RP7:SA7)</f>
        <v>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f t="shared" ref="SO7:SO40" si="137">SUM(SC7:SN7)</f>
        <v>0</v>
      </c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f t="shared" ref="TB7:TB40" si="138">SUM(SP7:TA7)</f>
        <v>0</v>
      </c>
      <c r="TC7" s="4">
        <f t="shared" ref="TC7:TC40" si="139">+SB7+SO7+TB7</f>
        <v>0</v>
      </c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>
        <f t="shared" ref="TP7:TP40" si="140">SUM(TD7:TO7)</f>
        <v>0</v>
      </c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f t="shared" ref="UC7:UC40" si="141">SUM(TQ7:UB7)</f>
        <v>0</v>
      </c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>
        <f t="shared" ref="UP7:UP40" si="142">SUM(UD7:UO7)</f>
        <v>0</v>
      </c>
      <c r="UQ7" s="4">
        <f t="shared" ref="UQ7:UQ40" si="143">+TP7+UC7+UP7</f>
        <v>0</v>
      </c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>
        <f t="shared" ref="VD7:VD40" si="144">SUM(UR7:VC7)</f>
        <v>0</v>
      </c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>
        <f t="shared" ref="VQ7:VQ40" si="145">SUM(VE7:VP7)</f>
        <v>0</v>
      </c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>
        <f t="shared" ref="WD7:WD40" si="146">SUM(VR7:WC7)</f>
        <v>0</v>
      </c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>
        <f t="shared" ref="WQ7:WQ40" si="147">SUM(WE7:WP7)</f>
        <v>0</v>
      </c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>
        <f t="shared" ref="XD7:XD40" si="148">SUM(WR7:XC7)</f>
        <v>0</v>
      </c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>
        <f t="shared" ref="XQ7:XQ40" si="149">SUM(XE7:XP7)</f>
        <v>0</v>
      </c>
      <c r="XR7" s="4">
        <f t="shared" si="87"/>
        <v>0</v>
      </c>
      <c r="XS7" s="13">
        <f t="shared" ref="XS7:XS39" si="150">+AQ7+CE7+DS7+FG7+GU7+II7+JW7+LK7+MY7+OM7+QA7+RO7+TC7+UQ7+XR7</f>
        <v>0</v>
      </c>
    </row>
    <row r="8" spans="1:643" hidden="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88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89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90"/>
        <v>0</v>
      </c>
      <c r="AQ8" s="4">
        <f t="shared" si="91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92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93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94"/>
        <v>0</v>
      </c>
      <c r="CE8" s="4">
        <f t="shared" si="95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96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97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98"/>
        <v>0</v>
      </c>
      <c r="DS8" s="4">
        <f t="shared" si="99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100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101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102"/>
        <v>0</v>
      </c>
      <c r="FG8" s="4">
        <f t="shared" si="103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104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105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106"/>
        <v>0</v>
      </c>
      <c r="GU8" s="4">
        <f t="shared" si="107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108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109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110"/>
        <v>0</v>
      </c>
      <c r="II8" s="4">
        <f t="shared" si="111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112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113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114"/>
        <v>0</v>
      </c>
      <c r="JW8" s="4">
        <f t="shared" si="115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116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117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118"/>
        <v>0</v>
      </c>
      <c r="LK8" s="4">
        <f t="shared" si="119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120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121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122"/>
        <v>0</v>
      </c>
      <c r="MY8" s="4">
        <f t="shared" si="123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si="124"/>
        <v>0</v>
      </c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>
        <f t="shared" si="125"/>
        <v>0</v>
      </c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>
        <f t="shared" si="126"/>
        <v>0</v>
      </c>
      <c r="OM8" s="4">
        <f t="shared" si="127"/>
        <v>0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>
        <f t="shared" si="128"/>
        <v>0</v>
      </c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>
        <f t="shared" si="129"/>
        <v>0</v>
      </c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>
        <f t="shared" si="130"/>
        <v>0</v>
      </c>
      <c r="QA8" s="4">
        <f t="shared" si="131"/>
        <v>0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>
        <f t="shared" si="132"/>
        <v>0</v>
      </c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>
        <f t="shared" si="133"/>
        <v>0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>
        <f t="shared" si="134"/>
        <v>0</v>
      </c>
      <c r="RO8" s="4">
        <f t="shared" si="135"/>
        <v>0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>
        <f t="shared" si="136"/>
        <v>0</v>
      </c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f t="shared" si="137"/>
        <v>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f t="shared" si="138"/>
        <v>0</v>
      </c>
      <c r="TC8" s="4">
        <f t="shared" si="139"/>
        <v>0</v>
      </c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>
        <f t="shared" si="140"/>
        <v>0</v>
      </c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f t="shared" si="141"/>
        <v>0</v>
      </c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>
        <f t="shared" si="142"/>
        <v>0</v>
      </c>
      <c r="UQ8" s="4">
        <f t="shared" si="143"/>
        <v>0</v>
      </c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>
        <f t="shared" si="144"/>
        <v>0</v>
      </c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>
        <f t="shared" si="145"/>
        <v>0</v>
      </c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>
        <f t="shared" si="146"/>
        <v>0</v>
      </c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>
        <f t="shared" si="147"/>
        <v>0</v>
      </c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>
        <f t="shared" si="148"/>
        <v>0</v>
      </c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>
        <f t="shared" si="149"/>
        <v>0</v>
      </c>
      <c r="XR8" s="4">
        <f t="shared" si="87"/>
        <v>0</v>
      </c>
      <c r="XS8" s="13">
        <f t="shared" si="150"/>
        <v>0</v>
      </c>
    </row>
    <row r="9" spans="1:643" hidden="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88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89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90"/>
        <v>0</v>
      </c>
      <c r="AQ9" s="4">
        <f t="shared" si="91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92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93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94"/>
        <v>0</v>
      </c>
      <c r="CE9" s="4">
        <f t="shared" si="95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96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97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98"/>
        <v>0</v>
      </c>
      <c r="DS9" s="4">
        <f t="shared" si="99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100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101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102"/>
        <v>0</v>
      </c>
      <c r="FG9" s="4">
        <f t="shared" si="103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104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105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106"/>
        <v>0</v>
      </c>
      <c r="GU9" s="4">
        <f t="shared" si="107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108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109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110"/>
        <v>0</v>
      </c>
      <c r="II9" s="4">
        <f t="shared" si="111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112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113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114"/>
        <v>0</v>
      </c>
      <c r="JW9" s="4">
        <f t="shared" si="115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116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117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118"/>
        <v>0</v>
      </c>
      <c r="LK9" s="4">
        <f t="shared" si="119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120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121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122"/>
        <v>0</v>
      </c>
      <c r="MY9" s="4">
        <f t="shared" si="123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124"/>
        <v>0</v>
      </c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>
        <f t="shared" si="125"/>
        <v>0</v>
      </c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>
        <f t="shared" si="126"/>
        <v>0</v>
      </c>
      <c r="OM9" s="4">
        <f t="shared" si="127"/>
        <v>0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>
        <f t="shared" si="128"/>
        <v>0</v>
      </c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>
        <f t="shared" si="129"/>
        <v>0</v>
      </c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>
        <f t="shared" si="130"/>
        <v>0</v>
      </c>
      <c r="QA9" s="4">
        <f t="shared" si="131"/>
        <v>0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>
        <f t="shared" si="132"/>
        <v>0</v>
      </c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f t="shared" si="133"/>
        <v>0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>
        <f t="shared" si="134"/>
        <v>0</v>
      </c>
      <c r="RO9" s="4">
        <f t="shared" si="135"/>
        <v>0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>
        <f t="shared" si="136"/>
        <v>0</v>
      </c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f t="shared" si="137"/>
        <v>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f t="shared" si="138"/>
        <v>0</v>
      </c>
      <c r="TC9" s="4">
        <f t="shared" si="139"/>
        <v>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f t="shared" si="140"/>
        <v>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f t="shared" si="141"/>
        <v>0</v>
      </c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>
        <f t="shared" si="142"/>
        <v>0</v>
      </c>
      <c r="UQ9" s="4">
        <f t="shared" si="143"/>
        <v>0</v>
      </c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f t="shared" si="144"/>
        <v>0</v>
      </c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>
        <f t="shared" si="145"/>
        <v>0</v>
      </c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>
        <f t="shared" si="146"/>
        <v>0</v>
      </c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>
        <f t="shared" si="147"/>
        <v>0</v>
      </c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>
        <f t="shared" si="148"/>
        <v>0</v>
      </c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>
        <f t="shared" si="149"/>
        <v>0</v>
      </c>
      <c r="XR9" s="4">
        <f t="shared" si="87"/>
        <v>0</v>
      </c>
      <c r="XS9" s="13">
        <f t="shared" si="150"/>
        <v>0</v>
      </c>
    </row>
    <row r="10" spans="1:643" hidden="1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88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89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90"/>
        <v>0</v>
      </c>
      <c r="AQ10" s="4">
        <f t="shared" si="91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92"/>
        <v>0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f t="shared" si="93"/>
        <v>0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>
        <f t="shared" si="94"/>
        <v>0</v>
      </c>
      <c r="CE10" s="4">
        <f t="shared" si="95"/>
        <v>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96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97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98"/>
        <v>0</v>
      </c>
      <c r="DS10" s="4">
        <f t="shared" si="99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100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101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102"/>
        <v>0</v>
      </c>
      <c r="FG10" s="4">
        <f t="shared" si="103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104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105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106"/>
        <v>0</v>
      </c>
      <c r="GU10" s="4">
        <f t="shared" si="107"/>
        <v>0</v>
      </c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>
        <f t="shared" si="108"/>
        <v>0</v>
      </c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>
        <f t="shared" si="109"/>
        <v>0</v>
      </c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>
        <f t="shared" si="110"/>
        <v>0</v>
      </c>
      <c r="II10" s="4">
        <f t="shared" si="111"/>
        <v>0</v>
      </c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>
        <f t="shared" si="112"/>
        <v>0</v>
      </c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f t="shared" si="113"/>
        <v>0</v>
      </c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>
        <f t="shared" si="114"/>
        <v>0</v>
      </c>
      <c r="JW10" s="4">
        <f t="shared" si="115"/>
        <v>0</v>
      </c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>
        <f t="shared" si="116"/>
        <v>0</v>
      </c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>
        <f t="shared" si="117"/>
        <v>0</v>
      </c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>
        <f t="shared" si="118"/>
        <v>0</v>
      </c>
      <c r="LK10" s="4">
        <f t="shared" si="119"/>
        <v>0</v>
      </c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>
        <f t="shared" si="120"/>
        <v>0</v>
      </c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>
        <f t="shared" si="121"/>
        <v>0</v>
      </c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>
        <f t="shared" si="122"/>
        <v>0</v>
      </c>
      <c r="MY10" s="4">
        <f t="shared" si="123"/>
        <v>0</v>
      </c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>
        <f t="shared" si="124"/>
        <v>0</v>
      </c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>
        <f t="shared" si="125"/>
        <v>0</v>
      </c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>
        <f t="shared" si="126"/>
        <v>0</v>
      </c>
      <c r="OM10" s="4">
        <f t="shared" si="127"/>
        <v>0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>
        <f t="shared" si="128"/>
        <v>0</v>
      </c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>
        <f t="shared" si="129"/>
        <v>0</v>
      </c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>
        <f t="shared" si="130"/>
        <v>0</v>
      </c>
      <c r="QA10" s="4">
        <f t="shared" si="131"/>
        <v>0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>
        <f t="shared" si="132"/>
        <v>0</v>
      </c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>
        <f t="shared" si="133"/>
        <v>0</v>
      </c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>
        <f t="shared" si="134"/>
        <v>0</v>
      </c>
      <c r="RO10" s="4">
        <f t="shared" si="135"/>
        <v>0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>
        <f t="shared" si="136"/>
        <v>0</v>
      </c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>
        <f t="shared" si="137"/>
        <v>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>
        <f t="shared" si="138"/>
        <v>0</v>
      </c>
      <c r="TC10" s="4">
        <f t="shared" si="139"/>
        <v>0</v>
      </c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>
        <f t="shared" si="140"/>
        <v>0</v>
      </c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f t="shared" si="141"/>
        <v>0</v>
      </c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>
        <f t="shared" si="142"/>
        <v>0</v>
      </c>
      <c r="UQ10" s="4">
        <f t="shared" si="143"/>
        <v>0</v>
      </c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>
        <f t="shared" si="144"/>
        <v>0</v>
      </c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>
        <f t="shared" si="145"/>
        <v>0</v>
      </c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>
        <f t="shared" si="146"/>
        <v>0</v>
      </c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>
        <f t="shared" si="147"/>
        <v>0</v>
      </c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>
        <f t="shared" si="148"/>
        <v>0</v>
      </c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>
        <f t="shared" si="149"/>
        <v>0</v>
      </c>
      <c r="XR10" s="4">
        <f t="shared" si="87"/>
        <v>0</v>
      </c>
      <c r="XS10" s="13">
        <f t="shared" si="150"/>
        <v>0</v>
      </c>
    </row>
    <row r="11" spans="1:643" hidden="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88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89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90"/>
        <v>0</v>
      </c>
      <c r="AQ11" s="4">
        <f t="shared" si="91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92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93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94"/>
        <v>0</v>
      </c>
      <c r="CE11" s="4">
        <f t="shared" si="95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96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97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98"/>
        <v>0</v>
      </c>
      <c r="DS11" s="4">
        <f t="shared" si="99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100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101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102"/>
        <v>0</v>
      </c>
      <c r="FG11" s="4">
        <f t="shared" si="103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104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105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106"/>
        <v>0</v>
      </c>
      <c r="GU11" s="4">
        <f t="shared" si="107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108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109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110"/>
        <v>0</v>
      </c>
      <c r="II11" s="4">
        <f t="shared" si="111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112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113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114"/>
        <v>0</v>
      </c>
      <c r="JW11" s="4">
        <f t="shared" si="115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116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117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118"/>
        <v>0</v>
      </c>
      <c r="LK11" s="4">
        <f t="shared" si="119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120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121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122"/>
        <v>0</v>
      </c>
      <c r="MY11" s="4">
        <f t="shared" si="123"/>
        <v>0</v>
      </c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>
        <f t="shared" si="124"/>
        <v>0</v>
      </c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>
        <f t="shared" si="125"/>
        <v>0</v>
      </c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>
        <f t="shared" si="126"/>
        <v>0</v>
      </c>
      <c r="OM11" s="4">
        <f t="shared" si="127"/>
        <v>0</v>
      </c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>
        <f t="shared" si="128"/>
        <v>0</v>
      </c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>
        <f t="shared" si="129"/>
        <v>0</v>
      </c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>
        <f t="shared" si="130"/>
        <v>0</v>
      </c>
      <c r="QA11" s="4">
        <f t="shared" si="131"/>
        <v>0</v>
      </c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>
        <f t="shared" si="132"/>
        <v>0</v>
      </c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>
        <f t="shared" si="133"/>
        <v>0</v>
      </c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>
        <f t="shared" si="134"/>
        <v>0</v>
      </c>
      <c r="RO11" s="4">
        <f t="shared" si="135"/>
        <v>0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>
        <f t="shared" si="136"/>
        <v>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f t="shared" si="137"/>
        <v>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>
        <f t="shared" si="138"/>
        <v>0</v>
      </c>
      <c r="TC11" s="4">
        <f t="shared" si="139"/>
        <v>0</v>
      </c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>
        <f t="shared" si="140"/>
        <v>0</v>
      </c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>
        <f t="shared" si="141"/>
        <v>0</v>
      </c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>
        <f t="shared" si="142"/>
        <v>0</v>
      </c>
      <c r="UQ11" s="4">
        <f t="shared" si="143"/>
        <v>0</v>
      </c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>
        <f t="shared" si="144"/>
        <v>0</v>
      </c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>
        <f t="shared" si="145"/>
        <v>0</v>
      </c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>
        <f t="shared" si="146"/>
        <v>0</v>
      </c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>
        <f t="shared" si="147"/>
        <v>0</v>
      </c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>
        <f t="shared" si="148"/>
        <v>0</v>
      </c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>
        <f t="shared" si="149"/>
        <v>0</v>
      </c>
      <c r="XR11" s="4">
        <f t="shared" si="87"/>
        <v>0</v>
      </c>
      <c r="XS11" s="13">
        <f t="shared" si="150"/>
        <v>0</v>
      </c>
    </row>
    <row r="12" spans="1:643" hidden="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88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89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90"/>
        <v>0</v>
      </c>
      <c r="AQ12" s="4">
        <f t="shared" si="91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92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93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94"/>
        <v>0</v>
      </c>
      <c r="CE12" s="4">
        <f t="shared" si="95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96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97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98"/>
        <v>0</v>
      </c>
      <c r="DS12" s="4">
        <f t="shared" si="99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100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101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102"/>
        <v>0</v>
      </c>
      <c r="FG12" s="4">
        <f t="shared" si="103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104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105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106"/>
        <v>0</v>
      </c>
      <c r="GU12" s="4">
        <f t="shared" si="107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108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109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110"/>
        <v>0</v>
      </c>
      <c r="II12" s="4">
        <f t="shared" si="111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112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113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114"/>
        <v>0</v>
      </c>
      <c r="JW12" s="4">
        <f t="shared" si="115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116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117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118"/>
        <v>0</v>
      </c>
      <c r="LK12" s="4">
        <f t="shared" si="119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120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121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122"/>
        <v>0</v>
      </c>
      <c r="MY12" s="4">
        <f t="shared" si="123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124"/>
        <v>0</v>
      </c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>
        <f t="shared" si="125"/>
        <v>0</v>
      </c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>
        <f t="shared" si="126"/>
        <v>0</v>
      </c>
      <c r="OM12" s="4">
        <f t="shared" si="127"/>
        <v>0</v>
      </c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f t="shared" si="128"/>
        <v>0</v>
      </c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>
        <f t="shared" si="129"/>
        <v>0</v>
      </c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>
        <f t="shared" si="130"/>
        <v>0</v>
      </c>
      <c r="QA12" s="4">
        <f t="shared" si="131"/>
        <v>0</v>
      </c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>
        <f t="shared" si="132"/>
        <v>0</v>
      </c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>
        <f t="shared" si="133"/>
        <v>0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>
        <f t="shared" si="134"/>
        <v>0</v>
      </c>
      <c r="RO12" s="4">
        <f t="shared" si="135"/>
        <v>0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>
        <f t="shared" si="136"/>
        <v>0</v>
      </c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f t="shared" si="137"/>
        <v>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>
        <f t="shared" si="138"/>
        <v>0</v>
      </c>
      <c r="TC12" s="4">
        <f t="shared" si="139"/>
        <v>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>
        <f t="shared" si="140"/>
        <v>0</v>
      </c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>
        <f t="shared" si="141"/>
        <v>0</v>
      </c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>
        <f t="shared" si="142"/>
        <v>0</v>
      </c>
      <c r="UQ12" s="4">
        <f t="shared" si="143"/>
        <v>0</v>
      </c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>
        <f t="shared" si="144"/>
        <v>0</v>
      </c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>
        <f t="shared" si="145"/>
        <v>0</v>
      </c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>
        <f t="shared" si="146"/>
        <v>0</v>
      </c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>
        <f t="shared" si="147"/>
        <v>0</v>
      </c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>
        <f t="shared" si="148"/>
        <v>0</v>
      </c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>
        <f t="shared" si="149"/>
        <v>0</v>
      </c>
      <c r="XR12" s="4">
        <f t="shared" si="87"/>
        <v>0</v>
      </c>
      <c r="XS12" s="13">
        <f t="shared" si="150"/>
        <v>0</v>
      </c>
    </row>
    <row r="13" spans="1:643" hidden="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88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89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90"/>
        <v>0</v>
      </c>
      <c r="AQ13" s="4">
        <f t="shared" si="91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92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93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94"/>
        <v>0</v>
      </c>
      <c r="CE13" s="4">
        <f t="shared" si="95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96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97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98"/>
        <v>0</v>
      </c>
      <c r="DS13" s="4">
        <f t="shared" si="99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100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101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102"/>
        <v>0</v>
      </c>
      <c r="FG13" s="4">
        <f t="shared" si="103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104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105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106"/>
        <v>0</v>
      </c>
      <c r="GU13" s="4">
        <f t="shared" si="107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108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109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110"/>
        <v>0</v>
      </c>
      <c r="II13" s="4">
        <f t="shared" si="111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112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113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114"/>
        <v>0</v>
      </c>
      <c r="JW13" s="4">
        <f t="shared" si="115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116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117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118"/>
        <v>0</v>
      </c>
      <c r="LK13" s="4">
        <f t="shared" si="119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120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121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122"/>
        <v>0</v>
      </c>
      <c r="MY13" s="4">
        <f t="shared" si="123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124"/>
        <v>0</v>
      </c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>
        <f t="shared" si="125"/>
        <v>0</v>
      </c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>
        <f t="shared" si="126"/>
        <v>0</v>
      </c>
      <c r="OM13" s="4">
        <f t="shared" si="127"/>
        <v>0</v>
      </c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>
        <f t="shared" si="128"/>
        <v>0</v>
      </c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>
        <f t="shared" si="129"/>
        <v>0</v>
      </c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>
        <f t="shared" si="130"/>
        <v>0</v>
      </c>
      <c r="QA13" s="4">
        <f t="shared" si="131"/>
        <v>0</v>
      </c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>
        <f t="shared" si="132"/>
        <v>0</v>
      </c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>
        <f t="shared" si="133"/>
        <v>0</v>
      </c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>
        <f t="shared" si="134"/>
        <v>0</v>
      </c>
      <c r="RO13" s="4">
        <f t="shared" si="135"/>
        <v>0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>
        <f t="shared" si="136"/>
        <v>0</v>
      </c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>
        <f t="shared" si="137"/>
        <v>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>
        <f t="shared" si="138"/>
        <v>0</v>
      </c>
      <c r="TC13" s="4">
        <f t="shared" si="139"/>
        <v>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>
        <f t="shared" si="140"/>
        <v>0</v>
      </c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f t="shared" si="141"/>
        <v>0</v>
      </c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>
        <f t="shared" si="142"/>
        <v>0</v>
      </c>
      <c r="UQ13" s="4">
        <f t="shared" si="143"/>
        <v>0</v>
      </c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>
        <f t="shared" si="144"/>
        <v>0</v>
      </c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>
        <f t="shared" si="145"/>
        <v>0</v>
      </c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>
        <f t="shared" si="146"/>
        <v>0</v>
      </c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>
        <f t="shared" si="147"/>
        <v>0</v>
      </c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>
        <f t="shared" si="148"/>
        <v>0</v>
      </c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>
        <f t="shared" si="149"/>
        <v>0</v>
      </c>
      <c r="XR13" s="4">
        <f t="shared" si="87"/>
        <v>0</v>
      </c>
      <c r="XS13" s="13">
        <f t="shared" si="150"/>
        <v>0</v>
      </c>
    </row>
    <row r="14" spans="1:643" hidden="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88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89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90"/>
        <v>0</v>
      </c>
      <c r="AQ14" s="4">
        <f t="shared" si="91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92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93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94"/>
        <v>0</v>
      </c>
      <c r="CE14" s="4">
        <f t="shared" si="95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96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97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98"/>
        <v>0</v>
      </c>
      <c r="DS14" s="4">
        <f t="shared" si="99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100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101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102"/>
        <v>0</v>
      </c>
      <c r="FG14" s="4">
        <f t="shared" si="103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104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105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106"/>
        <v>0</v>
      </c>
      <c r="GU14" s="4">
        <f t="shared" si="107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108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109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110"/>
        <v>0</v>
      </c>
      <c r="II14" s="4">
        <f t="shared" si="111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112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113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114"/>
        <v>0</v>
      </c>
      <c r="JW14" s="4">
        <f t="shared" si="115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116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117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118"/>
        <v>0</v>
      </c>
      <c r="LK14" s="4">
        <f t="shared" si="119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120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121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122"/>
        <v>0</v>
      </c>
      <c r="MY14" s="4">
        <f t="shared" si="123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124"/>
        <v>0</v>
      </c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>
        <f t="shared" si="125"/>
        <v>0</v>
      </c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>
        <f t="shared" si="126"/>
        <v>0</v>
      </c>
      <c r="OM14" s="4">
        <f t="shared" si="127"/>
        <v>0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>
        <f t="shared" si="128"/>
        <v>0</v>
      </c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>
        <f t="shared" si="129"/>
        <v>0</v>
      </c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>
        <f t="shared" si="130"/>
        <v>0</v>
      </c>
      <c r="QA14" s="4">
        <f t="shared" si="131"/>
        <v>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>
        <f t="shared" si="132"/>
        <v>0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f t="shared" si="133"/>
        <v>0</v>
      </c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>
        <f t="shared" si="134"/>
        <v>0</v>
      </c>
      <c r="RO14" s="4">
        <f t="shared" si="135"/>
        <v>0</v>
      </c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>
        <f t="shared" si="136"/>
        <v>0</v>
      </c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>
        <f t="shared" si="137"/>
        <v>0</v>
      </c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f t="shared" si="138"/>
        <v>0</v>
      </c>
      <c r="TC14" s="4">
        <f t="shared" si="139"/>
        <v>0</v>
      </c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>
        <f t="shared" si="140"/>
        <v>0</v>
      </c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>
        <f t="shared" si="141"/>
        <v>0</v>
      </c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>
        <f t="shared" si="142"/>
        <v>0</v>
      </c>
      <c r="UQ14" s="4">
        <f t="shared" si="143"/>
        <v>0</v>
      </c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>
        <f t="shared" si="144"/>
        <v>0</v>
      </c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>
        <f t="shared" si="145"/>
        <v>0</v>
      </c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>
        <f t="shared" si="146"/>
        <v>0</v>
      </c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>
        <f t="shared" si="147"/>
        <v>0</v>
      </c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>
        <f t="shared" si="148"/>
        <v>0</v>
      </c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>
        <f t="shared" si="149"/>
        <v>0</v>
      </c>
      <c r="XR14" s="4">
        <f t="shared" si="87"/>
        <v>0</v>
      </c>
      <c r="XS14" s="13">
        <f t="shared" si="150"/>
        <v>0</v>
      </c>
    </row>
    <row r="15" spans="1:643" hidden="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88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89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90"/>
        <v>0</v>
      </c>
      <c r="AQ15" s="4">
        <f t="shared" si="91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92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93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94"/>
        <v>0</v>
      </c>
      <c r="CE15" s="4">
        <f t="shared" si="95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96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97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98"/>
        <v>0</v>
      </c>
      <c r="DS15" s="4">
        <f t="shared" si="99"/>
        <v>0</v>
      </c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>
        <f t="shared" si="100"/>
        <v>0</v>
      </c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>
        <f t="shared" si="101"/>
        <v>0</v>
      </c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>
        <f t="shared" si="102"/>
        <v>0</v>
      </c>
      <c r="FG15" s="4">
        <f t="shared" si="103"/>
        <v>0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104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105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106"/>
        <v>0</v>
      </c>
      <c r="GU15" s="4">
        <f t="shared" si="107"/>
        <v>0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108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109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110"/>
        <v>0</v>
      </c>
      <c r="II15" s="4">
        <f t="shared" si="111"/>
        <v>0</v>
      </c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>
        <f t="shared" si="112"/>
        <v>0</v>
      </c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f t="shared" si="113"/>
        <v>0</v>
      </c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>
        <f t="shared" si="114"/>
        <v>0</v>
      </c>
      <c r="JW15" s="4">
        <f t="shared" si="115"/>
        <v>0</v>
      </c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>
        <f t="shared" si="116"/>
        <v>0</v>
      </c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>
        <f t="shared" si="117"/>
        <v>0</v>
      </c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>
        <f t="shared" si="118"/>
        <v>0</v>
      </c>
      <c r="LK15" s="4">
        <f t="shared" si="119"/>
        <v>0</v>
      </c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>
        <f t="shared" si="120"/>
        <v>0</v>
      </c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>
        <f t="shared" si="121"/>
        <v>0</v>
      </c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>
        <f t="shared" si="122"/>
        <v>0</v>
      </c>
      <c r="MY15" s="4">
        <f t="shared" si="123"/>
        <v>0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124"/>
        <v>0</v>
      </c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>
        <f t="shared" si="125"/>
        <v>0</v>
      </c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>
        <f t="shared" si="126"/>
        <v>0</v>
      </c>
      <c r="OM15" s="4">
        <f t="shared" si="127"/>
        <v>0</v>
      </c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>
        <f t="shared" si="128"/>
        <v>0</v>
      </c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>
        <f t="shared" si="129"/>
        <v>0</v>
      </c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>
        <f t="shared" si="130"/>
        <v>0</v>
      </c>
      <c r="QA15" s="4">
        <f t="shared" si="131"/>
        <v>0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>
        <f t="shared" si="132"/>
        <v>0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>
        <f t="shared" si="133"/>
        <v>0</v>
      </c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>
        <f t="shared" si="134"/>
        <v>0</v>
      </c>
      <c r="RO15" s="4">
        <f t="shared" si="135"/>
        <v>0</v>
      </c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>
        <f t="shared" si="136"/>
        <v>0</v>
      </c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>
        <f t="shared" si="137"/>
        <v>0</v>
      </c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f t="shared" si="138"/>
        <v>0</v>
      </c>
      <c r="TC15" s="4">
        <f t="shared" si="139"/>
        <v>0</v>
      </c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>
        <f t="shared" si="140"/>
        <v>0</v>
      </c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f t="shared" si="141"/>
        <v>0</v>
      </c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>
        <f t="shared" si="142"/>
        <v>0</v>
      </c>
      <c r="UQ15" s="4">
        <f t="shared" si="143"/>
        <v>0</v>
      </c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>
        <f t="shared" si="144"/>
        <v>0</v>
      </c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>
        <f t="shared" si="145"/>
        <v>0</v>
      </c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>
        <f t="shared" si="146"/>
        <v>0</v>
      </c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>
        <f t="shared" si="147"/>
        <v>0</v>
      </c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>
        <f t="shared" si="148"/>
        <v>0</v>
      </c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>
        <f t="shared" si="149"/>
        <v>0</v>
      </c>
      <c r="XR15" s="4">
        <f t="shared" si="87"/>
        <v>0</v>
      </c>
      <c r="XS15" s="13">
        <f t="shared" si="150"/>
        <v>0</v>
      </c>
    </row>
    <row r="16" spans="1:643" hidden="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88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89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90"/>
        <v>0</v>
      </c>
      <c r="AQ16" s="4">
        <f t="shared" si="91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92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93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94"/>
        <v>0</v>
      </c>
      <c r="CE16" s="4">
        <f t="shared" si="95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96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97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98"/>
        <v>0</v>
      </c>
      <c r="DS16" s="4">
        <f t="shared" si="99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100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101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102"/>
        <v>0</v>
      </c>
      <c r="FG16" s="4">
        <f t="shared" si="103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104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105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106"/>
        <v>0</v>
      </c>
      <c r="GU16" s="4">
        <f t="shared" si="107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108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109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110"/>
        <v>0</v>
      </c>
      <c r="II16" s="4">
        <f t="shared" si="111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112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113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114"/>
        <v>0</v>
      </c>
      <c r="JW16" s="4">
        <f t="shared" si="115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116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117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118"/>
        <v>0</v>
      </c>
      <c r="LK16" s="4">
        <f t="shared" si="119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120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121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122"/>
        <v>0</v>
      </c>
      <c r="MY16" s="4">
        <f t="shared" si="123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124"/>
        <v>0</v>
      </c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>
        <f t="shared" si="125"/>
        <v>0</v>
      </c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>
        <f t="shared" si="126"/>
        <v>0</v>
      </c>
      <c r="OM16" s="4">
        <f t="shared" si="127"/>
        <v>0</v>
      </c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>
        <f t="shared" si="128"/>
        <v>0</v>
      </c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>
        <f t="shared" si="129"/>
        <v>0</v>
      </c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>
        <f t="shared" si="130"/>
        <v>0</v>
      </c>
      <c r="QA16" s="4">
        <f t="shared" si="131"/>
        <v>0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>
        <f t="shared" si="132"/>
        <v>0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>
        <f t="shared" si="133"/>
        <v>0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f t="shared" si="134"/>
        <v>0</v>
      </c>
      <c r="RO16" s="4">
        <f t="shared" si="135"/>
        <v>0</v>
      </c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f t="shared" si="136"/>
        <v>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>
        <f t="shared" si="137"/>
        <v>0</v>
      </c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>
        <f t="shared" si="138"/>
        <v>0</v>
      </c>
      <c r="TC16" s="4">
        <f t="shared" si="139"/>
        <v>0</v>
      </c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>
        <f t="shared" si="140"/>
        <v>0</v>
      </c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>
        <f t="shared" si="141"/>
        <v>0</v>
      </c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>
        <f t="shared" si="142"/>
        <v>0</v>
      </c>
      <c r="UQ16" s="4">
        <f t="shared" si="143"/>
        <v>0</v>
      </c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>
        <f t="shared" si="144"/>
        <v>0</v>
      </c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>
        <f t="shared" si="145"/>
        <v>0</v>
      </c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>
        <f t="shared" si="146"/>
        <v>0</v>
      </c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>
        <f t="shared" si="147"/>
        <v>0</v>
      </c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>
        <f t="shared" si="148"/>
        <v>0</v>
      </c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>
        <f t="shared" si="149"/>
        <v>0</v>
      </c>
      <c r="XR16" s="4">
        <f t="shared" si="87"/>
        <v>0</v>
      </c>
      <c r="XS16" s="13">
        <f t="shared" si="150"/>
        <v>0</v>
      </c>
    </row>
    <row r="17" spans="1:643" hidden="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88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89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90"/>
        <v>0</v>
      </c>
      <c r="AQ17" s="4">
        <f t="shared" si="91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92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93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94"/>
        <v>0</v>
      </c>
      <c r="CE17" s="4">
        <f t="shared" si="95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96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97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98"/>
        <v>0</v>
      </c>
      <c r="DS17" s="4">
        <f t="shared" si="99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100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101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102"/>
        <v>0</v>
      </c>
      <c r="FG17" s="4">
        <f t="shared" si="103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104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105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106"/>
        <v>0</v>
      </c>
      <c r="GU17" s="4">
        <f t="shared" si="107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108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109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110"/>
        <v>0</v>
      </c>
      <c r="II17" s="4">
        <f t="shared" si="111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112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113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114"/>
        <v>0</v>
      </c>
      <c r="JW17" s="4">
        <f t="shared" si="115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116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117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118"/>
        <v>0</v>
      </c>
      <c r="LK17" s="4">
        <f t="shared" si="119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120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121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122"/>
        <v>0</v>
      </c>
      <c r="MY17" s="4">
        <f t="shared" si="123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124"/>
        <v>0</v>
      </c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>
        <f t="shared" si="125"/>
        <v>0</v>
      </c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>
        <f t="shared" si="126"/>
        <v>0</v>
      </c>
      <c r="OM17" s="4">
        <f t="shared" si="127"/>
        <v>0</v>
      </c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>
        <f t="shared" si="128"/>
        <v>0</v>
      </c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>
        <f t="shared" si="129"/>
        <v>0</v>
      </c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>
        <f t="shared" si="130"/>
        <v>0</v>
      </c>
      <c r="QA17" s="4">
        <f t="shared" si="131"/>
        <v>0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>
        <f t="shared" si="132"/>
        <v>0</v>
      </c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>
        <f t="shared" si="133"/>
        <v>0</v>
      </c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f t="shared" si="134"/>
        <v>0</v>
      </c>
      <c r="RO17" s="4">
        <f t="shared" si="135"/>
        <v>0</v>
      </c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f t="shared" si="136"/>
        <v>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>
        <f t="shared" si="137"/>
        <v>0</v>
      </c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>
        <f t="shared" si="138"/>
        <v>0</v>
      </c>
      <c r="TC17" s="4">
        <f t="shared" si="139"/>
        <v>0</v>
      </c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>
        <f t="shared" si="140"/>
        <v>0</v>
      </c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f t="shared" si="141"/>
        <v>0</v>
      </c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f t="shared" si="142"/>
        <v>0</v>
      </c>
      <c r="UQ17" s="4">
        <f t="shared" si="143"/>
        <v>0</v>
      </c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>
        <f t="shared" si="144"/>
        <v>0</v>
      </c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>
        <f t="shared" si="145"/>
        <v>0</v>
      </c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>
        <f t="shared" si="146"/>
        <v>0</v>
      </c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>
        <f t="shared" si="147"/>
        <v>0</v>
      </c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>
        <f t="shared" si="148"/>
        <v>0</v>
      </c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>
        <f t="shared" si="149"/>
        <v>0</v>
      </c>
      <c r="XR17" s="4">
        <f t="shared" si="87"/>
        <v>0</v>
      </c>
      <c r="XS17" s="13">
        <f t="shared" si="150"/>
        <v>0</v>
      </c>
    </row>
    <row r="18" spans="1:643" hidden="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88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89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90"/>
        <v>0</v>
      </c>
      <c r="AQ18" s="4">
        <f t="shared" si="91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92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93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94"/>
        <v>0</v>
      </c>
      <c r="CE18" s="4">
        <f t="shared" si="95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96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97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98"/>
        <v>0</v>
      </c>
      <c r="DS18" s="4">
        <f t="shared" si="99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100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101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102"/>
        <v>0</v>
      </c>
      <c r="FG18" s="4">
        <f t="shared" si="103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104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105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106"/>
        <v>0</v>
      </c>
      <c r="GU18" s="4">
        <f t="shared" si="107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108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109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110"/>
        <v>0</v>
      </c>
      <c r="II18" s="4">
        <f t="shared" si="111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112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113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114"/>
        <v>0</v>
      </c>
      <c r="JW18" s="4">
        <f t="shared" si="115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116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117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118"/>
        <v>0</v>
      </c>
      <c r="LK18" s="4">
        <f t="shared" si="119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120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121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122"/>
        <v>0</v>
      </c>
      <c r="MY18" s="4">
        <f t="shared" si="123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124"/>
        <v>0</v>
      </c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>
        <f t="shared" si="125"/>
        <v>0</v>
      </c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>
        <f t="shared" si="126"/>
        <v>0</v>
      </c>
      <c r="OM18" s="4">
        <f t="shared" si="127"/>
        <v>0</v>
      </c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>
        <f t="shared" si="128"/>
        <v>0</v>
      </c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>
        <f t="shared" si="129"/>
        <v>0</v>
      </c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>
        <f t="shared" si="130"/>
        <v>0</v>
      </c>
      <c r="QA18" s="4">
        <f t="shared" si="131"/>
        <v>0</v>
      </c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>
        <f t="shared" si="132"/>
        <v>0</v>
      </c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>
        <f t="shared" si="133"/>
        <v>0</v>
      </c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>
        <f t="shared" si="134"/>
        <v>0</v>
      </c>
      <c r="RO18" s="4">
        <f t="shared" si="135"/>
        <v>0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>
        <f t="shared" si="136"/>
        <v>0</v>
      </c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>
        <f t="shared" si="137"/>
        <v>0</v>
      </c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>
        <f t="shared" si="138"/>
        <v>0</v>
      </c>
      <c r="TC18" s="4">
        <f t="shared" si="139"/>
        <v>0</v>
      </c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>
        <f t="shared" si="140"/>
        <v>0</v>
      </c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>
        <f t="shared" si="141"/>
        <v>0</v>
      </c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>
        <f t="shared" si="142"/>
        <v>0</v>
      </c>
      <c r="UQ18" s="4">
        <f t="shared" si="143"/>
        <v>0</v>
      </c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>
        <f t="shared" si="144"/>
        <v>0</v>
      </c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>
        <f t="shared" si="145"/>
        <v>0</v>
      </c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>
        <f t="shared" si="146"/>
        <v>0</v>
      </c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>
        <f t="shared" si="147"/>
        <v>0</v>
      </c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>
        <f t="shared" si="148"/>
        <v>0</v>
      </c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>
        <f t="shared" si="149"/>
        <v>0</v>
      </c>
      <c r="XR18" s="4">
        <f t="shared" si="87"/>
        <v>0</v>
      </c>
      <c r="XS18" s="13">
        <f t="shared" si="150"/>
        <v>0</v>
      </c>
    </row>
    <row r="19" spans="1:643" hidden="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88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89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90"/>
        <v>0</v>
      </c>
      <c r="AQ19" s="4">
        <f t="shared" si="91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92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93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94"/>
        <v>0</v>
      </c>
      <c r="CE19" s="4">
        <f t="shared" si="95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96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97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98"/>
        <v>0</v>
      </c>
      <c r="DS19" s="4">
        <f t="shared" si="99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100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101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102"/>
        <v>0</v>
      </c>
      <c r="FG19" s="4">
        <f t="shared" si="103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104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105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106"/>
        <v>0</v>
      </c>
      <c r="GU19" s="4">
        <f t="shared" si="107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108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109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110"/>
        <v>0</v>
      </c>
      <c r="II19" s="4">
        <f t="shared" si="111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112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113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114"/>
        <v>0</v>
      </c>
      <c r="JW19" s="4">
        <f t="shared" si="115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116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117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118"/>
        <v>0</v>
      </c>
      <c r="LK19" s="4">
        <f t="shared" si="119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120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121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122"/>
        <v>0</v>
      </c>
      <c r="MY19" s="4">
        <f t="shared" si="123"/>
        <v>0</v>
      </c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>
        <f t="shared" si="124"/>
        <v>0</v>
      </c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>
        <f t="shared" si="125"/>
        <v>0</v>
      </c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>
        <f t="shared" si="126"/>
        <v>0</v>
      </c>
      <c r="OM19" s="4">
        <f t="shared" si="127"/>
        <v>0</v>
      </c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>
        <f t="shared" si="128"/>
        <v>0</v>
      </c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>
        <f t="shared" si="129"/>
        <v>0</v>
      </c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>
        <f t="shared" si="130"/>
        <v>0</v>
      </c>
      <c r="QA19" s="4">
        <f t="shared" si="131"/>
        <v>0</v>
      </c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>
        <f t="shared" si="132"/>
        <v>0</v>
      </c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>
        <f t="shared" si="133"/>
        <v>0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>
        <f t="shared" si="134"/>
        <v>0</v>
      </c>
      <c r="RO19" s="4">
        <f t="shared" si="135"/>
        <v>0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>
        <f t="shared" si="136"/>
        <v>0</v>
      </c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>
        <f t="shared" si="137"/>
        <v>0</v>
      </c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>
        <f t="shared" si="138"/>
        <v>0</v>
      </c>
      <c r="TC19" s="4">
        <f t="shared" si="139"/>
        <v>0</v>
      </c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>
        <f t="shared" si="140"/>
        <v>0</v>
      </c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>
        <f t="shared" si="141"/>
        <v>0</v>
      </c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>
        <f t="shared" si="142"/>
        <v>0</v>
      </c>
      <c r="UQ19" s="4">
        <f t="shared" si="143"/>
        <v>0</v>
      </c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>
        <f t="shared" si="144"/>
        <v>0</v>
      </c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>
        <f t="shared" si="145"/>
        <v>0</v>
      </c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>
        <f t="shared" si="146"/>
        <v>0</v>
      </c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>
        <f t="shared" si="147"/>
        <v>0</v>
      </c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>
        <f t="shared" si="148"/>
        <v>0</v>
      </c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>
        <f t="shared" si="149"/>
        <v>0</v>
      </c>
      <c r="XR19" s="4">
        <f t="shared" si="87"/>
        <v>0</v>
      </c>
      <c r="XS19" s="13">
        <f t="shared" si="150"/>
        <v>0</v>
      </c>
    </row>
    <row r="20" spans="1:643" hidden="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88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89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90"/>
        <v>0</v>
      </c>
      <c r="AQ20" s="4">
        <f t="shared" si="91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92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93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94"/>
        <v>0</v>
      </c>
      <c r="CE20" s="4">
        <f t="shared" si="95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96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97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98"/>
        <v>0</v>
      </c>
      <c r="DS20" s="4">
        <f t="shared" si="99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100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101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102"/>
        <v>0</v>
      </c>
      <c r="FG20" s="4">
        <f t="shared" si="103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104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105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106"/>
        <v>0</v>
      </c>
      <c r="GU20" s="4">
        <f t="shared" si="107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108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109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110"/>
        <v>0</v>
      </c>
      <c r="II20" s="4">
        <f t="shared" si="111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112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113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114"/>
        <v>0</v>
      </c>
      <c r="JW20" s="4">
        <f t="shared" si="115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116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117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118"/>
        <v>0</v>
      </c>
      <c r="LK20" s="4">
        <f t="shared" si="119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120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121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122"/>
        <v>0</v>
      </c>
      <c r="MY20" s="4">
        <f t="shared" si="123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124"/>
        <v>0</v>
      </c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>
        <f t="shared" si="125"/>
        <v>0</v>
      </c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>
        <f t="shared" si="126"/>
        <v>0</v>
      </c>
      <c r="OM20" s="4">
        <f t="shared" si="127"/>
        <v>0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>
        <f t="shared" si="128"/>
        <v>0</v>
      </c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>
        <f t="shared" si="129"/>
        <v>0</v>
      </c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>
        <f t="shared" si="130"/>
        <v>0</v>
      </c>
      <c r="QA20" s="4">
        <f t="shared" si="131"/>
        <v>0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>
        <f t="shared" si="132"/>
        <v>0</v>
      </c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f t="shared" si="133"/>
        <v>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>
        <f t="shared" si="134"/>
        <v>0</v>
      </c>
      <c r="RO20" s="4">
        <f t="shared" si="135"/>
        <v>0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>
        <f t="shared" si="136"/>
        <v>0</v>
      </c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>
        <f t="shared" si="137"/>
        <v>0</v>
      </c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>
        <f t="shared" si="138"/>
        <v>0</v>
      </c>
      <c r="TC20" s="4">
        <f t="shared" si="139"/>
        <v>0</v>
      </c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>
        <f t="shared" si="140"/>
        <v>0</v>
      </c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>
        <f t="shared" si="141"/>
        <v>0</v>
      </c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>
        <f t="shared" si="142"/>
        <v>0</v>
      </c>
      <c r="UQ20" s="4">
        <f t="shared" si="143"/>
        <v>0</v>
      </c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>
        <f t="shared" si="144"/>
        <v>0</v>
      </c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>
        <f t="shared" si="145"/>
        <v>0</v>
      </c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>
        <f t="shared" si="146"/>
        <v>0</v>
      </c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>
        <f t="shared" si="147"/>
        <v>0</v>
      </c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>
        <f t="shared" si="148"/>
        <v>0</v>
      </c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>
        <f t="shared" si="149"/>
        <v>0</v>
      </c>
      <c r="XR20" s="4">
        <f t="shared" si="87"/>
        <v>0</v>
      </c>
      <c r="XS20" s="13">
        <f t="shared" si="150"/>
        <v>0</v>
      </c>
    </row>
    <row r="21" spans="1:643" hidden="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88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89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90"/>
        <v>0</v>
      </c>
      <c r="AQ21" s="4">
        <f t="shared" si="91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92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93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94"/>
        <v>0</v>
      </c>
      <c r="CE21" s="4">
        <f t="shared" si="95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96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97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98"/>
        <v>0</v>
      </c>
      <c r="DS21" s="4">
        <f t="shared" si="99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100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101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102"/>
        <v>0</v>
      </c>
      <c r="FG21" s="4">
        <f t="shared" si="103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104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105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106"/>
        <v>0</v>
      </c>
      <c r="GU21" s="4">
        <f t="shared" si="107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108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109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110"/>
        <v>0</v>
      </c>
      <c r="II21" s="4">
        <f t="shared" si="111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112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113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114"/>
        <v>0</v>
      </c>
      <c r="JW21" s="4">
        <f t="shared" si="115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116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117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118"/>
        <v>0</v>
      </c>
      <c r="LK21" s="4">
        <f t="shared" si="119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120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121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122"/>
        <v>0</v>
      </c>
      <c r="MY21" s="4">
        <f t="shared" si="123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124"/>
        <v>0</v>
      </c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>
        <f t="shared" si="125"/>
        <v>0</v>
      </c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>
        <f t="shared" si="126"/>
        <v>0</v>
      </c>
      <c r="OM21" s="4">
        <f t="shared" si="127"/>
        <v>0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>
        <f t="shared" si="128"/>
        <v>0</v>
      </c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>
        <f t="shared" si="129"/>
        <v>0</v>
      </c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>
        <f t="shared" si="130"/>
        <v>0</v>
      </c>
      <c r="QA21" s="4">
        <f t="shared" si="131"/>
        <v>0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>
        <f t="shared" si="132"/>
        <v>0</v>
      </c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f t="shared" si="133"/>
        <v>0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>
        <f t="shared" si="134"/>
        <v>0</v>
      </c>
      <c r="RO21" s="4">
        <f t="shared" si="135"/>
        <v>0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>
        <f t="shared" si="136"/>
        <v>0</v>
      </c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>
        <f t="shared" si="137"/>
        <v>0</v>
      </c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>
        <f t="shared" si="138"/>
        <v>0</v>
      </c>
      <c r="TC21" s="4">
        <f t="shared" si="139"/>
        <v>0</v>
      </c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>
        <f t="shared" si="140"/>
        <v>0</v>
      </c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>
        <f t="shared" si="141"/>
        <v>0</v>
      </c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>
        <f t="shared" si="142"/>
        <v>0</v>
      </c>
      <c r="UQ21" s="4">
        <f t="shared" si="143"/>
        <v>0</v>
      </c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>
        <f t="shared" si="144"/>
        <v>0</v>
      </c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>
        <f t="shared" si="145"/>
        <v>0</v>
      </c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>
        <f t="shared" si="146"/>
        <v>0</v>
      </c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>
        <f t="shared" si="147"/>
        <v>0</v>
      </c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>
        <f t="shared" si="148"/>
        <v>0</v>
      </c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>
        <f t="shared" si="149"/>
        <v>0</v>
      </c>
      <c r="XR21" s="4">
        <f t="shared" si="87"/>
        <v>0</v>
      </c>
      <c r="XS21" s="13">
        <f t="shared" si="150"/>
        <v>0</v>
      </c>
    </row>
    <row r="22" spans="1:643" x14ac:dyDescent="0.35">
      <c r="A22" s="5" t="s">
        <v>3</v>
      </c>
      <c r="B22" s="5" t="s">
        <v>8</v>
      </c>
      <c r="C22" s="5" t="s">
        <v>17</v>
      </c>
      <c r="D22" s="4">
        <v>211460</v>
      </c>
      <c r="E22" s="4">
        <v>211460</v>
      </c>
      <c r="F22" s="4">
        <v>211460</v>
      </c>
      <c r="G22" s="4">
        <v>211460</v>
      </c>
      <c r="H22" s="4">
        <v>211460</v>
      </c>
      <c r="I22" s="4">
        <v>211460</v>
      </c>
      <c r="J22" s="37">
        <f>56160+220820</f>
        <v>276980</v>
      </c>
      <c r="K22" s="4">
        <v>220820</v>
      </c>
      <c r="L22" s="4">
        <v>220820</v>
      </c>
      <c r="M22" s="4">
        <v>220820</v>
      </c>
      <c r="N22" s="4">
        <v>220820</v>
      </c>
      <c r="O22" s="4">
        <v>220820</v>
      </c>
      <c r="P22" s="4">
        <f t="shared" si="88"/>
        <v>2649840</v>
      </c>
      <c r="Q22" s="4">
        <v>5250</v>
      </c>
      <c r="R22" s="4">
        <v>5250</v>
      </c>
      <c r="S22" s="4">
        <v>5250</v>
      </c>
      <c r="T22" s="4">
        <v>5250</v>
      </c>
      <c r="U22" s="4">
        <v>5250</v>
      </c>
      <c r="V22" s="4">
        <v>5250</v>
      </c>
      <c r="W22" s="4">
        <v>5250</v>
      </c>
      <c r="X22" s="4">
        <v>5250</v>
      </c>
      <c r="Y22" s="4">
        <v>5250</v>
      </c>
      <c r="Z22" s="4">
        <v>5250</v>
      </c>
      <c r="AA22" s="4">
        <v>5250</v>
      </c>
      <c r="AB22" s="4">
        <v>5250</v>
      </c>
      <c r="AC22" s="4">
        <f t="shared" si="89"/>
        <v>63000</v>
      </c>
      <c r="AD22" s="4">
        <v>1785</v>
      </c>
      <c r="AE22" s="4">
        <v>1785</v>
      </c>
      <c r="AF22" s="4">
        <v>1785</v>
      </c>
      <c r="AG22" s="4">
        <v>1785</v>
      </c>
      <c r="AH22" s="4">
        <v>1785</v>
      </c>
      <c r="AI22" s="4">
        <v>1785</v>
      </c>
      <c r="AJ22" s="37">
        <f>450+1860</f>
        <v>2310</v>
      </c>
      <c r="AK22" s="4">
        <v>1860</v>
      </c>
      <c r="AL22" s="4">
        <v>1860</v>
      </c>
      <c r="AM22" s="4">
        <v>1860</v>
      </c>
      <c r="AN22" s="4">
        <v>1860</v>
      </c>
      <c r="AO22" s="4">
        <v>1860</v>
      </c>
      <c r="AP22" s="4">
        <f t="shared" si="90"/>
        <v>22320</v>
      </c>
      <c r="AQ22" s="4">
        <f t="shared" si="91"/>
        <v>2735160</v>
      </c>
      <c r="AR22" s="4">
        <v>193870</v>
      </c>
      <c r="AS22" s="4">
        <v>193870</v>
      </c>
      <c r="AT22" s="4">
        <v>193870</v>
      </c>
      <c r="AU22" s="4">
        <v>193870</v>
      </c>
      <c r="AV22" s="4">
        <v>193870</v>
      </c>
      <c r="AW22" s="4">
        <v>193870</v>
      </c>
      <c r="AX22" s="37">
        <f>48780+202000</f>
        <v>250780</v>
      </c>
      <c r="AY22" s="4">
        <v>202000</v>
      </c>
      <c r="AZ22" s="4">
        <v>202000</v>
      </c>
      <c r="BA22" s="4">
        <v>202000</v>
      </c>
      <c r="BB22" s="4">
        <v>202000</v>
      </c>
      <c r="BC22" s="4">
        <v>202000</v>
      </c>
      <c r="BD22" s="4">
        <f t="shared" si="92"/>
        <v>2424000</v>
      </c>
      <c r="BE22" s="4">
        <v>4500</v>
      </c>
      <c r="BF22" s="4">
        <v>4500</v>
      </c>
      <c r="BG22" s="4">
        <v>4500</v>
      </c>
      <c r="BH22" s="4">
        <v>4500</v>
      </c>
      <c r="BI22" s="4">
        <v>4500</v>
      </c>
      <c r="BJ22" s="4">
        <v>4500</v>
      </c>
      <c r="BK22" s="4">
        <v>4500</v>
      </c>
      <c r="BL22" s="4">
        <v>4500</v>
      </c>
      <c r="BM22" s="4">
        <v>4500</v>
      </c>
      <c r="BN22" s="4">
        <v>4500</v>
      </c>
      <c r="BO22" s="4">
        <v>4500</v>
      </c>
      <c r="BP22" s="4">
        <v>4500</v>
      </c>
      <c r="BQ22" s="4">
        <f t="shared" si="93"/>
        <v>54000</v>
      </c>
      <c r="BR22" s="4">
        <v>5817</v>
      </c>
      <c r="BS22" s="4">
        <v>5817</v>
      </c>
      <c r="BT22" s="4">
        <v>5817</v>
      </c>
      <c r="BU22" s="4">
        <v>5817</v>
      </c>
      <c r="BV22" s="4">
        <v>5817</v>
      </c>
      <c r="BW22" s="4">
        <v>5817</v>
      </c>
      <c r="BX22" s="37">
        <f>1464+6060</f>
        <v>7524</v>
      </c>
      <c r="BY22" s="4">
        <v>6060</v>
      </c>
      <c r="BZ22" s="4">
        <v>6060</v>
      </c>
      <c r="CA22" s="4">
        <v>6060</v>
      </c>
      <c r="CB22" s="4">
        <v>6060</v>
      </c>
      <c r="CC22" s="4">
        <v>6060</v>
      </c>
      <c r="CD22" s="4">
        <f t="shared" si="94"/>
        <v>72726</v>
      </c>
      <c r="CE22" s="4">
        <f t="shared" si="95"/>
        <v>2550726</v>
      </c>
      <c r="CF22" s="4">
        <v>60760</v>
      </c>
      <c r="CG22" s="4">
        <v>60760</v>
      </c>
      <c r="CH22" s="4">
        <f>16625+87010</f>
        <v>103635</v>
      </c>
      <c r="CI22" s="4">
        <v>87010</v>
      </c>
      <c r="CJ22" s="4">
        <v>87010</v>
      </c>
      <c r="CK22" s="4">
        <v>87010</v>
      </c>
      <c r="CL22" s="37">
        <f>16440+89750</f>
        <v>106190</v>
      </c>
      <c r="CM22" s="4">
        <v>89750</v>
      </c>
      <c r="CN22" s="4">
        <v>60360</v>
      </c>
      <c r="CO22" s="4">
        <v>60360</v>
      </c>
      <c r="CP22" s="4">
        <v>60360</v>
      </c>
      <c r="CQ22" s="4">
        <v>60360</v>
      </c>
      <c r="CR22" s="4">
        <f t="shared" si="96"/>
        <v>923565</v>
      </c>
      <c r="CS22" s="4">
        <v>1500</v>
      </c>
      <c r="CT22" s="4">
        <v>1500</v>
      </c>
      <c r="CU22" s="4">
        <f>750+2250</f>
        <v>3000</v>
      </c>
      <c r="CV22" s="4">
        <v>2250</v>
      </c>
      <c r="CW22" s="4">
        <v>2250</v>
      </c>
      <c r="CX22" s="4">
        <v>2250</v>
      </c>
      <c r="CY22" s="4">
        <v>2250</v>
      </c>
      <c r="CZ22" s="4">
        <v>2250</v>
      </c>
      <c r="DA22" s="4">
        <v>1500</v>
      </c>
      <c r="DB22" s="4">
        <v>1500</v>
      </c>
      <c r="DC22" s="4">
        <v>1500</v>
      </c>
      <c r="DD22" s="4">
        <v>1500</v>
      </c>
      <c r="DE22" s="4">
        <f t="shared" si="97"/>
        <v>23250</v>
      </c>
      <c r="DF22" s="4">
        <v>979</v>
      </c>
      <c r="DG22" s="4">
        <v>979</v>
      </c>
      <c r="DH22" s="4">
        <v>979</v>
      </c>
      <c r="DI22" s="4">
        <v>979</v>
      </c>
      <c r="DJ22" s="4">
        <v>979</v>
      </c>
      <c r="DK22" s="4">
        <v>979</v>
      </c>
      <c r="DL22" s="37">
        <f>264+1023</f>
        <v>1287</v>
      </c>
      <c r="DM22" s="4">
        <v>1023</v>
      </c>
      <c r="DN22" s="4">
        <v>1023</v>
      </c>
      <c r="DO22" s="4">
        <v>1023</v>
      </c>
      <c r="DP22" s="4">
        <v>1023</v>
      </c>
      <c r="DQ22" s="4">
        <v>1023</v>
      </c>
      <c r="DR22" s="4">
        <f t="shared" si="98"/>
        <v>12276</v>
      </c>
      <c r="DS22" s="4">
        <f t="shared" si="99"/>
        <v>959091</v>
      </c>
      <c r="DT22" s="4">
        <v>122500</v>
      </c>
      <c r="DU22" s="4">
        <v>122500</v>
      </c>
      <c r="DV22" s="4">
        <f>16625+148750</f>
        <v>165375</v>
      </c>
      <c r="DW22" s="4">
        <v>148750</v>
      </c>
      <c r="DX22" s="4">
        <v>148750</v>
      </c>
      <c r="DY22" s="4">
        <v>148750</v>
      </c>
      <c r="DZ22" s="37">
        <f>24900+152900</f>
        <v>177800</v>
      </c>
      <c r="EA22" s="4">
        <v>152900</v>
      </c>
      <c r="EB22" s="4">
        <v>152900</v>
      </c>
      <c r="EC22" s="4">
        <v>152900</v>
      </c>
      <c r="ED22" s="4">
        <v>152900</v>
      </c>
      <c r="EE22" s="4">
        <v>152900</v>
      </c>
      <c r="EF22" s="4">
        <f t="shared" si="100"/>
        <v>1798925</v>
      </c>
      <c r="EG22" s="4">
        <v>3000</v>
      </c>
      <c r="EH22" s="4">
        <v>3000</v>
      </c>
      <c r="EI22" s="4">
        <f>750+3750</f>
        <v>4500</v>
      </c>
      <c r="EJ22" s="4">
        <v>3750</v>
      </c>
      <c r="EK22" s="4">
        <v>3750</v>
      </c>
      <c r="EL22" s="4">
        <v>3750</v>
      </c>
      <c r="EM22" s="4">
        <v>3750</v>
      </c>
      <c r="EN22" s="4">
        <v>3750</v>
      </c>
      <c r="EO22" s="4">
        <v>3750</v>
      </c>
      <c r="EP22" s="4">
        <v>3750</v>
      </c>
      <c r="EQ22" s="4">
        <v>3750</v>
      </c>
      <c r="ER22" s="4">
        <v>3750</v>
      </c>
      <c r="ES22" s="4">
        <f t="shared" si="101"/>
        <v>44250</v>
      </c>
      <c r="ET22" s="4">
        <v>2732</v>
      </c>
      <c r="EU22" s="4">
        <v>2732</v>
      </c>
      <c r="EV22" s="4">
        <v>2732</v>
      </c>
      <c r="EW22" s="4">
        <v>2732</v>
      </c>
      <c r="EX22" s="4">
        <v>2732</v>
      </c>
      <c r="EY22" s="4">
        <v>2732</v>
      </c>
      <c r="EZ22" s="37">
        <f>744+2856</f>
        <v>3600</v>
      </c>
      <c r="FA22" s="4">
        <v>2856</v>
      </c>
      <c r="FB22" s="4">
        <v>2856</v>
      </c>
      <c r="FC22" s="4">
        <v>2856</v>
      </c>
      <c r="FD22" s="4">
        <v>2856</v>
      </c>
      <c r="FE22" s="4">
        <v>2856</v>
      </c>
      <c r="FF22" s="4">
        <f t="shared" si="102"/>
        <v>34272</v>
      </c>
      <c r="FG22" s="4">
        <f t="shared" si="103"/>
        <v>1877447</v>
      </c>
      <c r="FH22" s="4">
        <v>111830</v>
      </c>
      <c r="FI22" s="4">
        <v>111830</v>
      </c>
      <c r="FJ22" s="4">
        <v>111830</v>
      </c>
      <c r="FK22" s="4">
        <v>111830</v>
      </c>
      <c r="FL22" s="4">
        <v>111830</v>
      </c>
      <c r="FM22" s="4">
        <v>111830</v>
      </c>
      <c r="FN22" s="37">
        <f>32880+117310</f>
        <v>150190</v>
      </c>
      <c r="FO22" s="4">
        <v>117310</v>
      </c>
      <c r="FP22" s="4">
        <v>117310</v>
      </c>
      <c r="FQ22" s="4">
        <v>117310</v>
      </c>
      <c r="FR22" s="4">
        <v>117310</v>
      </c>
      <c r="FS22" s="4">
        <v>117310</v>
      </c>
      <c r="FT22" s="4">
        <f t="shared" si="104"/>
        <v>1407720</v>
      </c>
      <c r="FU22" s="4">
        <v>3000</v>
      </c>
      <c r="FV22" s="4">
        <v>3000</v>
      </c>
      <c r="FW22" s="4">
        <v>3000</v>
      </c>
      <c r="FX22" s="4">
        <v>3000</v>
      </c>
      <c r="FY22" s="4">
        <v>3000</v>
      </c>
      <c r="FZ22" s="4">
        <v>3000</v>
      </c>
      <c r="GA22" s="4">
        <v>3000</v>
      </c>
      <c r="GB22" s="4">
        <v>3000</v>
      </c>
      <c r="GC22" s="4">
        <v>3000</v>
      </c>
      <c r="GD22" s="4">
        <v>3000</v>
      </c>
      <c r="GE22" s="4">
        <v>3000</v>
      </c>
      <c r="GF22" s="4">
        <v>3000</v>
      </c>
      <c r="GG22" s="4">
        <f t="shared" si="105"/>
        <v>36000</v>
      </c>
      <c r="GH22" s="4">
        <v>2638</v>
      </c>
      <c r="GI22" s="4">
        <v>2638</v>
      </c>
      <c r="GJ22" s="4">
        <v>2638</v>
      </c>
      <c r="GK22" s="4">
        <v>2638</v>
      </c>
      <c r="GL22" s="4">
        <v>2638</v>
      </c>
      <c r="GM22" s="4">
        <v>2638</v>
      </c>
      <c r="GN22" s="37">
        <f>792+2770</f>
        <v>3562</v>
      </c>
      <c r="GO22" s="4">
        <v>2770</v>
      </c>
      <c r="GP22" s="4">
        <v>2770</v>
      </c>
      <c r="GQ22" s="4">
        <v>2770</v>
      </c>
      <c r="GR22" s="4">
        <v>2770</v>
      </c>
      <c r="GS22" s="4">
        <v>2770</v>
      </c>
      <c r="GT22" s="4">
        <f t="shared" si="106"/>
        <v>33240</v>
      </c>
      <c r="GU22" s="4">
        <f t="shared" si="107"/>
        <v>1476960</v>
      </c>
      <c r="GV22" s="4">
        <v>114540</v>
      </c>
      <c r="GW22" s="4">
        <v>114540</v>
      </c>
      <c r="GX22" s="4">
        <v>114540</v>
      </c>
      <c r="GY22" s="4">
        <v>114540</v>
      </c>
      <c r="GZ22" s="4">
        <v>114540</v>
      </c>
      <c r="HA22" s="4">
        <v>114540</v>
      </c>
      <c r="HB22" s="37">
        <f>30180+119570</f>
        <v>149750</v>
      </c>
      <c r="HC22" s="4">
        <v>119570</v>
      </c>
      <c r="HD22" s="4">
        <v>119570</v>
      </c>
      <c r="HE22" s="4">
        <v>119570</v>
      </c>
      <c r="HF22" s="4">
        <v>119570</v>
      </c>
      <c r="HG22" s="4">
        <v>119570</v>
      </c>
      <c r="HH22" s="4">
        <f t="shared" si="108"/>
        <v>1434840</v>
      </c>
      <c r="HI22" s="4">
        <v>3000</v>
      </c>
      <c r="HJ22" s="4">
        <v>3000</v>
      </c>
      <c r="HK22" s="4">
        <v>3000</v>
      </c>
      <c r="HL22" s="4">
        <v>3000</v>
      </c>
      <c r="HM22" s="4">
        <v>3000</v>
      </c>
      <c r="HN22" s="4">
        <v>3000</v>
      </c>
      <c r="HO22" s="4">
        <v>3000</v>
      </c>
      <c r="HP22" s="4">
        <v>3000</v>
      </c>
      <c r="HQ22" s="4">
        <v>3000</v>
      </c>
      <c r="HR22" s="4">
        <v>3000</v>
      </c>
      <c r="HS22" s="4">
        <v>3000</v>
      </c>
      <c r="HT22" s="4">
        <v>3000</v>
      </c>
      <c r="HU22" s="4">
        <f t="shared" si="109"/>
        <v>36000</v>
      </c>
      <c r="HV22" s="4">
        <v>2636</v>
      </c>
      <c r="HW22" s="4">
        <v>2636</v>
      </c>
      <c r="HX22" s="4">
        <v>2636</v>
      </c>
      <c r="HY22" s="4">
        <v>2636</v>
      </c>
      <c r="HZ22" s="4">
        <v>2636</v>
      </c>
      <c r="IA22" s="4">
        <v>2636</v>
      </c>
      <c r="IB22" s="37">
        <f>714+2756</f>
        <v>3470</v>
      </c>
      <c r="IC22" s="4">
        <v>2756</v>
      </c>
      <c r="ID22" s="4">
        <v>2756</v>
      </c>
      <c r="IE22" s="4">
        <v>2756</v>
      </c>
      <c r="IF22" s="4">
        <v>2756</v>
      </c>
      <c r="IG22" s="4">
        <v>2756</v>
      </c>
      <c r="IH22" s="4">
        <f t="shared" si="110"/>
        <v>33066</v>
      </c>
      <c r="II22" s="4">
        <f t="shared" si="111"/>
        <v>1503906</v>
      </c>
      <c r="IJ22" s="4">
        <v>136040</v>
      </c>
      <c r="IK22" s="4">
        <v>136040</v>
      </c>
      <c r="IL22" s="4">
        <v>136040</v>
      </c>
      <c r="IM22" s="4">
        <v>136040</v>
      </c>
      <c r="IN22" s="4">
        <v>136040</v>
      </c>
      <c r="IO22" s="4">
        <v>136040</v>
      </c>
      <c r="IP22" s="37">
        <f>29580+140970</f>
        <v>170550</v>
      </c>
      <c r="IQ22" s="4">
        <v>140970</v>
      </c>
      <c r="IR22" s="4">
        <v>140970</v>
      </c>
      <c r="IS22" s="4">
        <v>140970</v>
      </c>
      <c r="IT22" s="4">
        <v>140970</v>
      </c>
      <c r="IU22" s="4">
        <v>140970</v>
      </c>
      <c r="IV22" s="4">
        <f t="shared" si="112"/>
        <v>1691640</v>
      </c>
      <c r="IW22" s="4">
        <v>3750</v>
      </c>
      <c r="IX22" s="4">
        <v>3750</v>
      </c>
      <c r="IY22" s="4">
        <v>3750</v>
      </c>
      <c r="IZ22" s="4">
        <v>3750</v>
      </c>
      <c r="JA22" s="4">
        <v>3750</v>
      </c>
      <c r="JB22" s="4">
        <v>3750</v>
      </c>
      <c r="JC22" s="4">
        <v>3750</v>
      </c>
      <c r="JD22" s="4">
        <v>3750</v>
      </c>
      <c r="JE22" s="4">
        <v>3750</v>
      </c>
      <c r="JF22" s="4">
        <v>3750</v>
      </c>
      <c r="JG22" s="4">
        <v>3750</v>
      </c>
      <c r="JH22" s="4">
        <v>3750</v>
      </c>
      <c r="JI22" s="4">
        <f t="shared" si="113"/>
        <v>45000</v>
      </c>
      <c r="JJ22" s="4">
        <v>1688</v>
      </c>
      <c r="JK22" s="4">
        <v>1688</v>
      </c>
      <c r="JL22" s="4">
        <v>1688</v>
      </c>
      <c r="JM22" s="4">
        <v>1688</v>
      </c>
      <c r="JN22" s="4">
        <v>1688</v>
      </c>
      <c r="JO22" s="4">
        <v>1688</v>
      </c>
      <c r="JP22" s="37">
        <f>432+1760</f>
        <v>2192</v>
      </c>
      <c r="JQ22" s="4">
        <v>1760</v>
      </c>
      <c r="JR22" s="4">
        <v>1760</v>
      </c>
      <c r="JS22" s="4">
        <v>1760</v>
      </c>
      <c r="JT22" s="4">
        <v>1760</v>
      </c>
      <c r="JU22" s="4">
        <v>1760</v>
      </c>
      <c r="JV22" s="4">
        <f t="shared" si="114"/>
        <v>21120</v>
      </c>
      <c r="JW22" s="4">
        <f t="shared" si="115"/>
        <v>1757760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116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117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118"/>
        <v>0</v>
      </c>
      <c r="LK22" s="4">
        <f t="shared" si="119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120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121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122"/>
        <v>0</v>
      </c>
      <c r="MY22" s="4">
        <f t="shared" si="123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124"/>
        <v>0</v>
      </c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>
        <f t="shared" si="125"/>
        <v>0</v>
      </c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>
        <f t="shared" si="126"/>
        <v>0</v>
      </c>
      <c r="OM22" s="4">
        <f t="shared" si="127"/>
        <v>0</v>
      </c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>
        <f t="shared" si="128"/>
        <v>0</v>
      </c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>
        <f t="shared" si="129"/>
        <v>0</v>
      </c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>
        <f t="shared" si="130"/>
        <v>0</v>
      </c>
      <c r="QA22" s="4">
        <f t="shared" si="131"/>
        <v>0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>
        <f t="shared" si="132"/>
        <v>0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>
        <f t="shared" si="133"/>
        <v>0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>
        <f t="shared" si="134"/>
        <v>0</v>
      </c>
      <c r="RO22" s="4">
        <f t="shared" si="135"/>
        <v>0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f t="shared" si="136"/>
        <v>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>
        <f t="shared" si="137"/>
        <v>0</v>
      </c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>
        <f t="shared" si="138"/>
        <v>0</v>
      </c>
      <c r="TC22" s="4">
        <f t="shared" si="139"/>
        <v>0</v>
      </c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>
        <f t="shared" si="140"/>
        <v>0</v>
      </c>
      <c r="TQ22" s="4"/>
      <c r="TR22" s="4"/>
      <c r="TS22" s="4">
        <v>299.04000000000002</v>
      </c>
      <c r="TT22" s="4">
        <v>13120</v>
      </c>
      <c r="TU22" s="4"/>
      <c r="TV22" s="4"/>
      <c r="TW22" s="4"/>
      <c r="TX22" s="4"/>
      <c r="TY22" s="4"/>
      <c r="TZ22" s="4"/>
      <c r="UA22" s="4"/>
      <c r="UB22" s="4"/>
      <c r="UC22" s="4">
        <f t="shared" si="141"/>
        <v>13419.04</v>
      </c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f t="shared" si="142"/>
        <v>0</v>
      </c>
      <c r="UQ22" s="4">
        <f t="shared" si="143"/>
        <v>13419.04</v>
      </c>
      <c r="UR22" s="4">
        <v>5600</v>
      </c>
      <c r="US22" s="4">
        <v>5600</v>
      </c>
      <c r="UT22" s="4">
        <v>5600</v>
      </c>
      <c r="UU22" s="4">
        <v>5600</v>
      </c>
      <c r="UV22" s="4">
        <v>5600</v>
      </c>
      <c r="UW22" s="4">
        <v>5600</v>
      </c>
      <c r="UX22" s="4">
        <v>5600</v>
      </c>
      <c r="UY22" s="4">
        <v>5600</v>
      </c>
      <c r="UZ22" s="4">
        <v>5600</v>
      </c>
      <c r="VA22" s="4">
        <v>5600</v>
      </c>
      <c r="VB22" s="4">
        <v>5600</v>
      </c>
      <c r="VC22" s="4">
        <v>5600</v>
      </c>
      <c r="VD22" s="4">
        <f t="shared" si="144"/>
        <v>67200</v>
      </c>
      <c r="VE22" s="4">
        <v>5600</v>
      </c>
      <c r="VF22" s="4">
        <v>5600</v>
      </c>
      <c r="VG22" s="4">
        <v>5600</v>
      </c>
      <c r="VH22" s="4">
        <v>5600</v>
      </c>
      <c r="VI22" s="4">
        <v>5600</v>
      </c>
      <c r="VJ22" s="4">
        <v>5600</v>
      </c>
      <c r="VK22" s="4">
        <f>11200+5600</f>
        <v>16800</v>
      </c>
      <c r="VL22" s="4">
        <v>11200</v>
      </c>
      <c r="VM22" s="4">
        <v>11200</v>
      </c>
      <c r="VN22" s="4">
        <v>11200</v>
      </c>
      <c r="VO22" s="4">
        <v>11200</v>
      </c>
      <c r="VP22" s="4">
        <v>11200</v>
      </c>
      <c r="VQ22" s="4">
        <f t="shared" si="145"/>
        <v>106400</v>
      </c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>
        <f t="shared" si="146"/>
        <v>0</v>
      </c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>
        <f t="shared" si="147"/>
        <v>0</v>
      </c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>
        <f t="shared" si="148"/>
        <v>0</v>
      </c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>
        <f t="shared" si="149"/>
        <v>0</v>
      </c>
      <c r="XR22" s="4">
        <f t="shared" si="87"/>
        <v>173600</v>
      </c>
      <c r="XS22" s="13">
        <f t="shared" si="150"/>
        <v>13048069.039999999</v>
      </c>
    </row>
    <row r="23" spans="1:643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88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89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90"/>
        <v>0</v>
      </c>
      <c r="AQ23" s="4">
        <f t="shared" si="91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92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93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94"/>
        <v>0</v>
      </c>
      <c r="CE23" s="4">
        <f t="shared" si="95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96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97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98"/>
        <v>0</v>
      </c>
      <c r="DS23" s="4">
        <f t="shared" si="99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100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101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102"/>
        <v>0</v>
      </c>
      <c r="FG23" s="4">
        <f t="shared" si="103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104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105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106"/>
        <v>0</v>
      </c>
      <c r="GU23" s="4">
        <f t="shared" si="107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108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109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110"/>
        <v>0</v>
      </c>
      <c r="II23" s="4">
        <f t="shared" si="111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112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113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114"/>
        <v>0</v>
      </c>
      <c r="JW23" s="4">
        <f t="shared" si="115"/>
        <v>0</v>
      </c>
      <c r="JX23" s="4">
        <v>150050</v>
      </c>
      <c r="JY23" s="4">
        <f>176300+20322.58</f>
        <v>196622.58000000002</v>
      </c>
      <c r="JZ23" s="4">
        <v>176300</v>
      </c>
      <c r="KA23" s="4">
        <v>176300</v>
      </c>
      <c r="KB23" s="4">
        <v>176300</v>
      </c>
      <c r="KC23" s="4">
        <v>176300</v>
      </c>
      <c r="KD23" s="37">
        <f>25020+180470</f>
        <v>205490</v>
      </c>
      <c r="KE23" s="4">
        <v>180470</v>
      </c>
      <c r="KF23" s="4">
        <v>180470</v>
      </c>
      <c r="KG23" s="4">
        <v>155971.64000000001</v>
      </c>
      <c r="KH23" s="4">
        <f>7592.13+9324+182270</f>
        <v>199186.13</v>
      </c>
      <c r="KI23" s="4">
        <v>182270</v>
      </c>
      <c r="KJ23" s="4">
        <f t="shared" si="116"/>
        <v>2155730.35</v>
      </c>
      <c r="KK23" s="4">
        <v>3750</v>
      </c>
      <c r="KL23" s="4">
        <f>4500+750</f>
        <v>5250</v>
      </c>
      <c r="KM23" s="4">
        <v>4500</v>
      </c>
      <c r="KN23" s="4">
        <v>4500</v>
      </c>
      <c r="KO23" s="4">
        <v>4500</v>
      </c>
      <c r="KP23" s="4">
        <v>4500</v>
      </c>
      <c r="KQ23" s="4">
        <v>4500</v>
      </c>
      <c r="KR23" s="4">
        <v>4500</v>
      </c>
      <c r="KS23" s="4">
        <v>4500</v>
      </c>
      <c r="KT23" s="4">
        <v>4066</v>
      </c>
      <c r="KU23" s="4">
        <v>4500</v>
      </c>
      <c r="KV23" s="4">
        <v>4500</v>
      </c>
      <c r="KW23" s="4">
        <f t="shared" si="117"/>
        <v>53566</v>
      </c>
      <c r="KX23" s="4">
        <v>887</v>
      </c>
      <c r="KY23" s="4">
        <v>887</v>
      </c>
      <c r="KZ23" s="4">
        <v>887</v>
      </c>
      <c r="LA23" s="4">
        <v>887</v>
      </c>
      <c r="LB23" s="4">
        <v>887</v>
      </c>
      <c r="LC23" s="4">
        <v>887</v>
      </c>
      <c r="LD23" s="37">
        <f>264+931</f>
        <v>1195</v>
      </c>
      <c r="LE23" s="4">
        <v>931</v>
      </c>
      <c r="LF23" s="4">
        <v>931</v>
      </c>
      <c r="LG23" s="4">
        <v>931</v>
      </c>
      <c r="LH23" s="4">
        <v>1719</v>
      </c>
      <c r="LI23" s="4">
        <v>1719</v>
      </c>
      <c r="LJ23" s="4">
        <f t="shared" si="118"/>
        <v>12748</v>
      </c>
      <c r="LK23" s="4">
        <f t="shared" si="119"/>
        <v>2222044.35</v>
      </c>
      <c r="LL23" s="4">
        <v>86330</v>
      </c>
      <c r="LM23" s="4">
        <v>86330</v>
      </c>
      <c r="LN23" s="4">
        <v>86330</v>
      </c>
      <c r="LO23" s="4">
        <v>86330</v>
      </c>
      <c r="LP23" s="4">
        <v>86330</v>
      </c>
      <c r="LQ23" s="4">
        <v>86330</v>
      </c>
      <c r="LR23" s="37">
        <f>25980+90660</f>
        <v>116640</v>
      </c>
      <c r="LS23" s="4">
        <v>90660</v>
      </c>
      <c r="LT23" s="4">
        <v>90660</v>
      </c>
      <c r="LU23" s="4">
        <v>90660</v>
      </c>
      <c r="LV23" s="4">
        <v>90660</v>
      </c>
      <c r="LW23" s="4">
        <v>90660</v>
      </c>
      <c r="LX23" s="4">
        <f t="shared" si="120"/>
        <v>1087920</v>
      </c>
      <c r="LY23" s="4">
        <v>2250</v>
      </c>
      <c r="LZ23" s="4">
        <v>2250</v>
      </c>
      <c r="MA23" s="4">
        <v>2250</v>
      </c>
      <c r="MB23" s="4">
        <v>2250</v>
      </c>
      <c r="MC23" s="4">
        <v>2250</v>
      </c>
      <c r="MD23" s="4">
        <v>2250</v>
      </c>
      <c r="ME23" s="4">
        <v>2250</v>
      </c>
      <c r="MF23" s="4">
        <v>2250</v>
      </c>
      <c r="MG23" s="4">
        <v>2250</v>
      </c>
      <c r="MH23" s="4">
        <v>2250</v>
      </c>
      <c r="MI23" s="4">
        <v>2250</v>
      </c>
      <c r="MJ23" s="4">
        <v>2250</v>
      </c>
      <c r="MK23" s="4">
        <f t="shared" si="121"/>
        <v>27000</v>
      </c>
      <c r="ML23" s="4">
        <v>987</v>
      </c>
      <c r="MM23" s="4">
        <v>987</v>
      </c>
      <c r="MN23" s="4">
        <v>987</v>
      </c>
      <c r="MO23" s="4">
        <v>987</v>
      </c>
      <c r="MP23" s="4">
        <v>987</v>
      </c>
      <c r="MQ23" s="4">
        <v>987</v>
      </c>
      <c r="MR23" s="37">
        <f>300+1036</f>
        <v>1336</v>
      </c>
      <c r="MS23" s="4">
        <v>1036</v>
      </c>
      <c r="MT23" s="4">
        <v>1036</v>
      </c>
      <c r="MU23" s="4">
        <v>1036</v>
      </c>
      <c r="MV23" s="4">
        <v>1036</v>
      </c>
      <c r="MW23" s="4">
        <v>1036</v>
      </c>
      <c r="MX23" s="4">
        <f t="shared" si="122"/>
        <v>12438</v>
      </c>
      <c r="MY23" s="4">
        <f t="shared" si="123"/>
        <v>1127358</v>
      </c>
      <c r="MZ23" s="4">
        <v>182760</v>
      </c>
      <c r="NA23" s="4">
        <v>209010</v>
      </c>
      <c r="NB23" s="4">
        <v>209010</v>
      </c>
      <c r="NC23" s="4">
        <v>209010</v>
      </c>
      <c r="ND23" s="4">
        <v>209010</v>
      </c>
      <c r="NE23" s="4">
        <v>209010</v>
      </c>
      <c r="NF23" s="37">
        <f>40560+215770</f>
        <v>256330</v>
      </c>
      <c r="NG23" s="4">
        <v>215770</v>
      </c>
      <c r="NH23" s="4">
        <v>215770</v>
      </c>
      <c r="NI23" s="4">
        <v>215770</v>
      </c>
      <c r="NJ23" s="4">
        <v>215770</v>
      </c>
      <c r="NK23" s="4">
        <v>215770</v>
      </c>
      <c r="NL23" s="4">
        <f t="shared" si="124"/>
        <v>2562990</v>
      </c>
      <c r="NM23" s="4">
        <v>4500</v>
      </c>
      <c r="NN23" s="4">
        <v>5250</v>
      </c>
      <c r="NO23" s="4">
        <v>5250</v>
      </c>
      <c r="NP23" s="4">
        <v>5250</v>
      </c>
      <c r="NQ23" s="4">
        <v>5250</v>
      </c>
      <c r="NR23" s="4">
        <v>5250</v>
      </c>
      <c r="NS23" s="4">
        <v>5250</v>
      </c>
      <c r="NT23" s="4">
        <v>5250</v>
      </c>
      <c r="NU23" s="4">
        <v>5250</v>
      </c>
      <c r="NV23" s="4">
        <v>5250</v>
      </c>
      <c r="NW23" s="4">
        <v>5250</v>
      </c>
      <c r="NX23" s="4">
        <v>5250</v>
      </c>
      <c r="NY23" s="4">
        <f t="shared" si="125"/>
        <v>62250</v>
      </c>
      <c r="NZ23" s="4">
        <v>3699</v>
      </c>
      <c r="OA23" s="4">
        <v>3699</v>
      </c>
      <c r="OB23" s="4">
        <v>3699</v>
      </c>
      <c r="OC23" s="4">
        <v>3699</v>
      </c>
      <c r="OD23" s="4">
        <v>3699</v>
      </c>
      <c r="OE23" s="4">
        <v>3699</v>
      </c>
      <c r="OF23" s="37">
        <f>762+3826</f>
        <v>4588</v>
      </c>
      <c r="OG23" s="4">
        <v>3826</v>
      </c>
      <c r="OH23" s="4">
        <v>3826</v>
      </c>
      <c r="OI23" s="4">
        <v>3826</v>
      </c>
      <c r="OJ23" s="4">
        <v>3826</v>
      </c>
      <c r="OK23" s="4">
        <v>3826</v>
      </c>
      <c r="OL23" s="4">
        <f t="shared" si="126"/>
        <v>45912</v>
      </c>
      <c r="OM23" s="4">
        <f t="shared" si="127"/>
        <v>2671152</v>
      </c>
      <c r="ON23" s="4">
        <v>176770</v>
      </c>
      <c r="OO23" s="4">
        <v>176770</v>
      </c>
      <c r="OP23" s="4">
        <v>176770</v>
      </c>
      <c r="OQ23" s="4">
        <v>176770</v>
      </c>
      <c r="OR23" s="4">
        <v>176770</v>
      </c>
      <c r="OS23" s="4">
        <v>176770</v>
      </c>
      <c r="OT23" s="37">
        <f>48000+184770</f>
        <v>232770</v>
      </c>
      <c r="OU23" s="4">
        <v>184770</v>
      </c>
      <c r="OV23" s="4">
        <v>184770</v>
      </c>
      <c r="OW23" s="4">
        <v>184770</v>
      </c>
      <c r="OX23" s="4">
        <v>184770</v>
      </c>
      <c r="OY23" s="4">
        <v>184770</v>
      </c>
      <c r="OZ23" s="4">
        <f t="shared" si="128"/>
        <v>2217240</v>
      </c>
      <c r="PA23" s="4">
        <v>4500</v>
      </c>
      <c r="PB23" s="4">
        <v>4500</v>
      </c>
      <c r="PC23" s="4">
        <v>4500</v>
      </c>
      <c r="PD23" s="4">
        <v>4500</v>
      </c>
      <c r="PE23" s="4">
        <v>4500</v>
      </c>
      <c r="PF23" s="4">
        <v>4500</v>
      </c>
      <c r="PG23" s="4">
        <v>4500</v>
      </c>
      <c r="PH23" s="4">
        <v>4500</v>
      </c>
      <c r="PI23" s="4">
        <v>4500</v>
      </c>
      <c r="PJ23" s="4">
        <v>4500</v>
      </c>
      <c r="PK23" s="4">
        <v>4500</v>
      </c>
      <c r="PL23" s="4">
        <v>4500</v>
      </c>
      <c r="PM23" s="4">
        <f t="shared" si="129"/>
        <v>54000</v>
      </c>
      <c r="PN23" s="4">
        <v>1987</v>
      </c>
      <c r="PO23" s="4">
        <v>1987</v>
      </c>
      <c r="PP23" s="4">
        <v>1987</v>
      </c>
      <c r="PQ23" s="4">
        <v>1987</v>
      </c>
      <c r="PR23" s="4">
        <v>1987</v>
      </c>
      <c r="PS23" s="4">
        <v>1987</v>
      </c>
      <c r="PT23" s="37">
        <f>570+2082</f>
        <v>2652</v>
      </c>
      <c r="PU23" s="4">
        <v>2082</v>
      </c>
      <c r="PV23" s="4">
        <v>2082</v>
      </c>
      <c r="PW23" s="4">
        <v>2082</v>
      </c>
      <c r="PX23" s="4">
        <v>2082</v>
      </c>
      <c r="PY23" s="4">
        <v>2082</v>
      </c>
      <c r="PZ23" s="4">
        <f t="shared" si="130"/>
        <v>24984</v>
      </c>
      <c r="QA23" s="4">
        <f t="shared" si="131"/>
        <v>2296224</v>
      </c>
      <c r="QB23" s="4">
        <v>89030</v>
      </c>
      <c r="QC23" s="4">
        <f>89030+20322.58</f>
        <v>109352.58</v>
      </c>
      <c r="QD23" s="4">
        <v>89030</v>
      </c>
      <c r="QE23" s="4">
        <v>89030</v>
      </c>
      <c r="QF23" s="4">
        <v>89030</v>
      </c>
      <c r="QG23" s="4">
        <v>89030</v>
      </c>
      <c r="QH23" s="37">
        <f>26760+93490</f>
        <v>120250</v>
      </c>
      <c r="QI23" s="4">
        <v>93490</v>
      </c>
      <c r="QJ23" s="4">
        <v>93490</v>
      </c>
      <c r="QK23" s="4">
        <v>93490</v>
      </c>
      <c r="QL23" s="4">
        <v>93490</v>
      </c>
      <c r="QM23" s="4">
        <v>93490</v>
      </c>
      <c r="QN23" s="4">
        <f t="shared" si="132"/>
        <v>1142202.58</v>
      </c>
      <c r="QO23" s="4">
        <v>2250</v>
      </c>
      <c r="QP23" s="4">
        <f>2250+750</f>
        <v>3000</v>
      </c>
      <c r="QQ23" s="4">
        <v>2250</v>
      </c>
      <c r="QR23" s="4">
        <v>2250</v>
      </c>
      <c r="QS23" s="4">
        <v>2250</v>
      </c>
      <c r="QT23" s="4">
        <v>2250</v>
      </c>
      <c r="QU23" s="4">
        <v>2250</v>
      </c>
      <c r="QV23" s="4">
        <v>2250</v>
      </c>
      <c r="QW23" s="4">
        <v>2250</v>
      </c>
      <c r="QX23" s="4">
        <v>2250</v>
      </c>
      <c r="QY23" s="4">
        <v>2250</v>
      </c>
      <c r="QZ23" s="4">
        <v>2250</v>
      </c>
      <c r="RA23" s="4">
        <f t="shared" si="133"/>
        <v>27750</v>
      </c>
      <c r="RB23" s="4">
        <v>1840</v>
      </c>
      <c r="RC23" s="4">
        <v>1840</v>
      </c>
      <c r="RD23" s="4">
        <v>1840</v>
      </c>
      <c r="RE23" s="4">
        <v>1840</v>
      </c>
      <c r="RF23" s="4">
        <v>1840</v>
      </c>
      <c r="RG23" s="4">
        <v>1840</v>
      </c>
      <c r="RH23" s="37">
        <f>552+1932</f>
        <v>2484</v>
      </c>
      <c r="RI23" s="4">
        <v>1932</v>
      </c>
      <c r="RJ23" s="4">
        <v>1932</v>
      </c>
      <c r="RK23" s="4">
        <v>1932</v>
      </c>
      <c r="RL23" s="4">
        <v>1932</v>
      </c>
      <c r="RM23" s="4">
        <v>1932</v>
      </c>
      <c r="RN23" s="4">
        <f t="shared" si="134"/>
        <v>23184</v>
      </c>
      <c r="RO23" s="4">
        <f t="shared" si="135"/>
        <v>1193136.58</v>
      </c>
      <c r="RP23" s="4">
        <v>120870</v>
      </c>
      <c r="RQ23" s="4">
        <v>120870</v>
      </c>
      <c r="RR23" s="4">
        <v>120870</v>
      </c>
      <c r="RS23" s="4">
        <v>120870</v>
      </c>
      <c r="RT23" s="4">
        <v>120870</v>
      </c>
      <c r="RU23" s="4">
        <v>120870</v>
      </c>
      <c r="RV23" s="37">
        <f>26820+125340</f>
        <v>152160</v>
      </c>
      <c r="RW23" s="4">
        <v>125340</v>
      </c>
      <c r="RX23" s="4">
        <v>125340</v>
      </c>
      <c r="RY23" s="4">
        <v>125340</v>
      </c>
      <c r="RZ23" s="4">
        <v>125340</v>
      </c>
      <c r="SA23" s="4">
        <v>125340</v>
      </c>
      <c r="SB23" s="4">
        <f t="shared" si="136"/>
        <v>1504080</v>
      </c>
      <c r="SC23" s="4">
        <v>3000</v>
      </c>
      <c r="SD23" s="4">
        <v>3000</v>
      </c>
      <c r="SE23" s="4">
        <v>3000</v>
      </c>
      <c r="SF23" s="4">
        <v>3000</v>
      </c>
      <c r="SG23" s="4">
        <v>3000</v>
      </c>
      <c r="SH23" s="4">
        <v>3000</v>
      </c>
      <c r="SI23" s="4">
        <v>3000</v>
      </c>
      <c r="SJ23" s="4">
        <v>3000</v>
      </c>
      <c r="SK23" s="4">
        <v>3000</v>
      </c>
      <c r="SL23" s="4">
        <v>3000</v>
      </c>
      <c r="SM23" s="4">
        <v>3000</v>
      </c>
      <c r="SN23" s="4">
        <v>3000</v>
      </c>
      <c r="SO23" s="4">
        <f t="shared" si="137"/>
        <v>36000</v>
      </c>
      <c r="SP23" s="4">
        <v>3628</v>
      </c>
      <c r="SQ23" s="4">
        <v>3628</v>
      </c>
      <c r="SR23" s="4">
        <v>3628</v>
      </c>
      <c r="SS23" s="4">
        <v>3628</v>
      </c>
      <c r="ST23" s="4">
        <v>3628</v>
      </c>
      <c r="SU23" s="4">
        <v>3628</v>
      </c>
      <c r="SV23" s="37">
        <f>804+3761</f>
        <v>4565</v>
      </c>
      <c r="SW23" s="4">
        <v>3761</v>
      </c>
      <c r="SX23" s="4">
        <v>3761</v>
      </c>
      <c r="SY23" s="4">
        <v>3761</v>
      </c>
      <c r="SZ23" s="4">
        <v>3761</v>
      </c>
      <c r="TA23" s="4">
        <v>3761</v>
      </c>
      <c r="TB23" s="4">
        <f t="shared" si="138"/>
        <v>45138</v>
      </c>
      <c r="TC23" s="4">
        <f t="shared" si="139"/>
        <v>1585218</v>
      </c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>
        <f t="shared" si="140"/>
        <v>0</v>
      </c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>
        <f t="shared" si="141"/>
        <v>0</v>
      </c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>
        <f t="shared" si="142"/>
        <v>0</v>
      </c>
      <c r="UQ23" s="4">
        <f t="shared" si="143"/>
        <v>0</v>
      </c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>
        <f t="shared" si="144"/>
        <v>0</v>
      </c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>
        <f t="shared" si="145"/>
        <v>0</v>
      </c>
      <c r="VR23" s="4">
        <v>5600</v>
      </c>
      <c r="VS23" s="4">
        <v>5600</v>
      </c>
      <c r="VT23" s="4">
        <v>5600</v>
      </c>
      <c r="VU23" s="4">
        <v>5600</v>
      </c>
      <c r="VV23" s="4">
        <v>5600</v>
      </c>
      <c r="VW23" s="4">
        <v>5600</v>
      </c>
      <c r="VX23" s="4">
        <v>5600</v>
      </c>
      <c r="VY23" s="4">
        <v>5600</v>
      </c>
      <c r="VZ23" s="4">
        <v>5600</v>
      </c>
      <c r="WA23" s="4">
        <v>5600</v>
      </c>
      <c r="WB23" s="4">
        <v>5600</v>
      </c>
      <c r="WC23" s="4">
        <v>5600</v>
      </c>
      <c r="WD23" s="4">
        <f t="shared" si="146"/>
        <v>67200</v>
      </c>
      <c r="WE23" s="4">
        <v>0</v>
      </c>
      <c r="WF23" s="4">
        <v>0</v>
      </c>
      <c r="WG23" s="4">
        <v>0</v>
      </c>
      <c r="WH23" s="4">
        <v>0</v>
      </c>
      <c r="WI23" s="4">
        <v>0</v>
      </c>
      <c r="WJ23" s="4">
        <v>0</v>
      </c>
      <c r="WK23" s="4">
        <v>0</v>
      </c>
      <c r="WL23" s="4">
        <f>78600+5600</f>
        <v>84200</v>
      </c>
      <c r="WM23" s="4">
        <v>5600</v>
      </c>
      <c r="WN23" s="4">
        <v>5600</v>
      </c>
      <c r="WO23" s="4">
        <v>5600</v>
      </c>
      <c r="WP23" s="4">
        <v>5600</v>
      </c>
      <c r="WQ23" s="4">
        <f t="shared" si="147"/>
        <v>106600</v>
      </c>
      <c r="WR23" s="4">
        <v>0</v>
      </c>
      <c r="WS23" s="4">
        <v>0</v>
      </c>
      <c r="WT23" s="4">
        <v>0</v>
      </c>
      <c r="WU23" s="4">
        <v>0</v>
      </c>
      <c r="WV23" s="4">
        <v>0</v>
      </c>
      <c r="WW23" s="4">
        <v>0</v>
      </c>
      <c r="WX23" s="4">
        <f>5600+5600</f>
        <v>11200</v>
      </c>
      <c r="WY23" s="4">
        <v>5600</v>
      </c>
      <c r="WZ23" s="4">
        <v>5600</v>
      </c>
      <c r="XA23" s="4">
        <v>5600</v>
      </c>
      <c r="XB23" s="4">
        <v>5600</v>
      </c>
      <c r="XC23" s="4">
        <v>5600</v>
      </c>
      <c r="XD23" s="4">
        <f t="shared" si="148"/>
        <v>39200</v>
      </c>
      <c r="XE23" s="4">
        <v>0</v>
      </c>
      <c r="XF23" s="4">
        <v>0</v>
      </c>
      <c r="XG23" s="4">
        <v>0</v>
      </c>
      <c r="XH23" s="4">
        <v>0</v>
      </c>
      <c r="XI23" s="4">
        <v>0</v>
      </c>
      <c r="XJ23" s="4">
        <v>0</v>
      </c>
      <c r="XK23" s="4">
        <v>0</v>
      </c>
      <c r="XL23" s="4">
        <v>0</v>
      </c>
      <c r="XM23" s="4">
        <v>0</v>
      </c>
      <c r="XN23" s="4">
        <v>0</v>
      </c>
      <c r="XO23" s="4">
        <f>722.58+11019.36</f>
        <v>11741.94</v>
      </c>
      <c r="XP23" s="4"/>
      <c r="XQ23" s="4">
        <f t="shared" si="149"/>
        <v>11741.94</v>
      </c>
      <c r="XR23" s="4">
        <f>+VD23+VQ23+WD23+WQ23+XD23+XQ23</f>
        <v>224741.94</v>
      </c>
      <c r="XS23" s="13">
        <f t="shared" si="150"/>
        <v>11319874.869999999</v>
      </c>
    </row>
    <row r="24" spans="1:643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88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89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90"/>
        <v>0</v>
      </c>
      <c r="AQ24" s="4">
        <f t="shared" si="91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92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93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94"/>
        <v>0</v>
      </c>
      <c r="CE24" s="4">
        <f t="shared" si="95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96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97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98"/>
        <v>0</v>
      </c>
      <c r="DS24" s="4">
        <f t="shared" si="99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100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101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102"/>
        <v>0</v>
      </c>
      <c r="FG24" s="4">
        <f t="shared" si="103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104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105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106"/>
        <v>0</v>
      </c>
      <c r="GU24" s="4">
        <f t="shared" si="107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108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109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110"/>
        <v>0</v>
      </c>
      <c r="II24" s="4">
        <f t="shared" si="111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112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113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114"/>
        <v>0</v>
      </c>
      <c r="JW24" s="4">
        <f t="shared" si="115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116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117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118"/>
        <v>0</v>
      </c>
      <c r="LK24" s="4">
        <f t="shared" si="119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120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121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122"/>
        <v>0</v>
      </c>
      <c r="MY24" s="4">
        <f t="shared" si="123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124"/>
        <v>0</v>
      </c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>
        <f t="shared" si="125"/>
        <v>0</v>
      </c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>
        <f t="shared" si="126"/>
        <v>0</v>
      </c>
      <c r="OM24" s="4">
        <f t="shared" si="127"/>
        <v>0</v>
      </c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>
        <f t="shared" si="128"/>
        <v>0</v>
      </c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>
        <f t="shared" si="129"/>
        <v>0</v>
      </c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>
        <f t="shared" si="130"/>
        <v>0</v>
      </c>
      <c r="QA24" s="4">
        <f t="shared" si="131"/>
        <v>0</v>
      </c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>
        <f t="shared" si="132"/>
        <v>0</v>
      </c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>
        <f t="shared" si="133"/>
        <v>0</v>
      </c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>
        <f t="shared" si="134"/>
        <v>0</v>
      </c>
      <c r="RO24" s="4">
        <f t="shared" si="135"/>
        <v>0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>
        <f t="shared" si="136"/>
        <v>0</v>
      </c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>
        <f t="shared" si="137"/>
        <v>0</v>
      </c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>
        <f t="shared" si="138"/>
        <v>0</v>
      </c>
      <c r="TC24" s="4">
        <f t="shared" si="139"/>
        <v>0</v>
      </c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>
        <f t="shared" si="140"/>
        <v>0</v>
      </c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>
        <f t="shared" si="141"/>
        <v>0</v>
      </c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>
        <f t="shared" si="142"/>
        <v>0</v>
      </c>
      <c r="UQ24" s="4">
        <f t="shared" si="143"/>
        <v>0</v>
      </c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>
        <f t="shared" si="144"/>
        <v>0</v>
      </c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>
        <f t="shared" si="145"/>
        <v>0</v>
      </c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>
        <f t="shared" si="146"/>
        <v>0</v>
      </c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>
        <f t="shared" si="147"/>
        <v>0</v>
      </c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>
        <f t="shared" si="148"/>
        <v>0</v>
      </c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>
        <f t="shared" si="149"/>
        <v>0</v>
      </c>
      <c r="XR24" s="4">
        <f t="shared" ref="XR24:XR39" si="151">+VD24+VQ24+WD24+WQ24+XD24+XQ24</f>
        <v>0</v>
      </c>
      <c r="XS24" s="13">
        <f t="shared" si="150"/>
        <v>0</v>
      </c>
    </row>
    <row r="25" spans="1:643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88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89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90"/>
        <v>0</v>
      </c>
      <c r="AQ25" s="4">
        <f t="shared" si="91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92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93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94"/>
        <v>0</v>
      </c>
      <c r="CE25" s="4">
        <f t="shared" si="95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96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97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98"/>
        <v>0</v>
      </c>
      <c r="DS25" s="4">
        <f t="shared" si="99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100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101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102"/>
        <v>0</v>
      </c>
      <c r="FG25" s="4">
        <f t="shared" si="103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104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105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106"/>
        <v>0</v>
      </c>
      <c r="GU25" s="4">
        <f t="shared" si="107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108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109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110"/>
        <v>0</v>
      </c>
      <c r="II25" s="4">
        <f t="shared" si="111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112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113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114"/>
        <v>0</v>
      </c>
      <c r="JW25" s="4">
        <f t="shared" si="115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116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117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118"/>
        <v>0</v>
      </c>
      <c r="LK25" s="4">
        <f t="shared" si="119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120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121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122"/>
        <v>0</v>
      </c>
      <c r="MY25" s="4">
        <f t="shared" si="123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124"/>
        <v>0</v>
      </c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>
        <f t="shared" si="125"/>
        <v>0</v>
      </c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>
        <f t="shared" si="126"/>
        <v>0</v>
      </c>
      <c r="OM25" s="4">
        <f t="shared" si="127"/>
        <v>0</v>
      </c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>
        <f t="shared" si="128"/>
        <v>0</v>
      </c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>
        <f t="shared" si="129"/>
        <v>0</v>
      </c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>
        <f t="shared" si="130"/>
        <v>0</v>
      </c>
      <c r="QA25" s="4">
        <f t="shared" si="131"/>
        <v>0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>
        <f t="shared" si="132"/>
        <v>0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>
        <f t="shared" si="133"/>
        <v>0</v>
      </c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>
        <f t="shared" si="134"/>
        <v>0</v>
      </c>
      <c r="RO25" s="4">
        <f t="shared" si="135"/>
        <v>0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>
        <f t="shared" si="136"/>
        <v>0</v>
      </c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>
        <f t="shared" si="137"/>
        <v>0</v>
      </c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>
        <f t="shared" si="138"/>
        <v>0</v>
      </c>
      <c r="TC25" s="4">
        <f t="shared" si="139"/>
        <v>0</v>
      </c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>
        <f t="shared" si="140"/>
        <v>0</v>
      </c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>
        <f t="shared" si="141"/>
        <v>0</v>
      </c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f t="shared" si="142"/>
        <v>0</v>
      </c>
      <c r="UQ25" s="4">
        <f t="shared" si="143"/>
        <v>0</v>
      </c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>
        <f t="shared" si="144"/>
        <v>0</v>
      </c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>
        <f t="shared" si="145"/>
        <v>0</v>
      </c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>
        <f t="shared" si="146"/>
        <v>0</v>
      </c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>
        <f t="shared" si="147"/>
        <v>0</v>
      </c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>
        <f t="shared" si="148"/>
        <v>0</v>
      </c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>
        <f t="shared" si="149"/>
        <v>0</v>
      </c>
      <c r="XR25" s="4">
        <f t="shared" si="151"/>
        <v>0</v>
      </c>
      <c r="XS25" s="13">
        <f t="shared" si="150"/>
        <v>0</v>
      </c>
    </row>
    <row r="26" spans="1:643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88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89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90"/>
        <v>0</v>
      </c>
      <c r="AQ26" s="4">
        <f t="shared" si="91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92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93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94"/>
        <v>0</v>
      </c>
      <c r="CE26" s="4">
        <f t="shared" si="95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96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97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98"/>
        <v>0</v>
      </c>
      <c r="DS26" s="4">
        <f t="shared" si="99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100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101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102"/>
        <v>0</v>
      </c>
      <c r="FG26" s="4">
        <f t="shared" si="103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104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105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106"/>
        <v>0</v>
      </c>
      <c r="GU26" s="4">
        <f t="shared" si="107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108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109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110"/>
        <v>0</v>
      </c>
      <c r="II26" s="4">
        <f t="shared" si="111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112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113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114"/>
        <v>0</v>
      </c>
      <c r="JW26" s="4">
        <f t="shared" si="115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116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117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118"/>
        <v>0</v>
      </c>
      <c r="LK26" s="4">
        <f t="shared" si="119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120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121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122"/>
        <v>0</v>
      </c>
      <c r="MY26" s="4">
        <f t="shared" si="123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124"/>
        <v>0</v>
      </c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>
        <f t="shared" si="125"/>
        <v>0</v>
      </c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>
        <f t="shared" si="126"/>
        <v>0</v>
      </c>
      <c r="OM26" s="4">
        <f t="shared" si="127"/>
        <v>0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>
        <f t="shared" si="128"/>
        <v>0</v>
      </c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>
        <f t="shared" si="129"/>
        <v>0</v>
      </c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>
        <f t="shared" si="130"/>
        <v>0</v>
      </c>
      <c r="QA26" s="4">
        <f t="shared" si="131"/>
        <v>0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>
        <f t="shared" si="132"/>
        <v>0</v>
      </c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>
        <f t="shared" si="133"/>
        <v>0</v>
      </c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>
        <f t="shared" si="134"/>
        <v>0</v>
      </c>
      <c r="RO26" s="4">
        <f t="shared" si="135"/>
        <v>0</v>
      </c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>
        <f t="shared" si="136"/>
        <v>0</v>
      </c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>
        <f t="shared" si="137"/>
        <v>0</v>
      </c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>
        <f t="shared" si="138"/>
        <v>0</v>
      </c>
      <c r="TC26" s="4">
        <f t="shared" si="139"/>
        <v>0</v>
      </c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>
        <f t="shared" si="140"/>
        <v>0</v>
      </c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>
        <f t="shared" si="141"/>
        <v>0</v>
      </c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>
        <f t="shared" si="142"/>
        <v>0</v>
      </c>
      <c r="UQ26" s="4">
        <f t="shared" si="143"/>
        <v>0</v>
      </c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>
        <f t="shared" si="144"/>
        <v>0</v>
      </c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>
        <f t="shared" si="145"/>
        <v>0</v>
      </c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>
        <f t="shared" si="146"/>
        <v>0</v>
      </c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>
        <f t="shared" si="147"/>
        <v>0</v>
      </c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>
        <f t="shared" si="148"/>
        <v>0</v>
      </c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>
        <f t="shared" si="149"/>
        <v>0</v>
      </c>
      <c r="XR26" s="4">
        <f t="shared" si="151"/>
        <v>0</v>
      </c>
      <c r="XS26" s="13">
        <f t="shared" si="150"/>
        <v>0</v>
      </c>
    </row>
    <row r="27" spans="1:643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88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89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90"/>
        <v>0</v>
      </c>
      <c r="AQ27" s="4">
        <f t="shared" si="91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92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93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94"/>
        <v>0</v>
      </c>
      <c r="CE27" s="4">
        <f t="shared" si="95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96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97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98"/>
        <v>0</v>
      </c>
      <c r="DS27" s="4">
        <f t="shared" si="99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100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101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102"/>
        <v>0</v>
      </c>
      <c r="FG27" s="4">
        <f t="shared" si="103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104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105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106"/>
        <v>0</v>
      </c>
      <c r="GU27" s="4">
        <f t="shared" si="107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108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109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110"/>
        <v>0</v>
      </c>
      <c r="II27" s="4">
        <f t="shared" si="111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112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113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114"/>
        <v>0</v>
      </c>
      <c r="JW27" s="4">
        <f t="shared" si="115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116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117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118"/>
        <v>0</v>
      </c>
      <c r="LK27" s="4">
        <f t="shared" si="119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120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121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122"/>
        <v>0</v>
      </c>
      <c r="MY27" s="4">
        <f t="shared" si="123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124"/>
        <v>0</v>
      </c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>
        <f t="shared" si="125"/>
        <v>0</v>
      </c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>
        <f t="shared" si="126"/>
        <v>0</v>
      </c>
      <c r="OM27" s="4">
        <f t="shared" si="127"/>
        <v>0</v>
      </c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>
        <f t="shared" si="128"/>
        <v>0</v>
      </c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>
        <f t="shared" si="129"/>
        <v>0</v>
      </c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>
        <f t="shared" si="130"/>
        <v>0</v>
      </c>
      <c r="QA27" s="4">
        <f t="shared" si="131"/>
        <v>0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>
        <f t="shared" si="132"/>
        <v>0</v>
      </c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>
        <f t="shared" si="133"/>
        <v>0</v>
      </c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>
        <f t="shared" si="134"/>
        <v>0</v>
      </c>
      <c r="RO27" s="4">
        <f t="shared" si="135"/>
        <v>0</v>
      </c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>
        <f t="shared" si="136"/>
        <v>0</v>
      </c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>
        <f t="shared" si="137"/>
        <v>0</v>
      </c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>
        <f t="shared" si="138"/>
        <v>0</v>
      </c>
      <c r="TC27" s="4">
        <f t="shared" si="139"/>
        <v>0</v>
      </c>
      <c r="TD27" s="4">
        <v>289770</v>
      </c>
      <c r="TE27" s="4">
        <v>289770</v>
      </c>
      <c r="TF27" s="4">
        <v>289770</v>
      </c>
      <c r="TG27" s="4">
        <v>289770</v>
      </c>
      <c r="TH27" s="4">
        <v>289770</v>
      </c>
      <c r="TI27" s="4">
        <v>289770</v>
      </c>
      <c r="TJ27" s="37">
        <f>85800+304070</f>
        <v>389870</v>
      </c>
      <c r="TK27" s="4">
        <v>304070</v>
      </c>
      <c r="TL27" s="4">
        <v>304070</v>
      </c>
      <c r="TM27" s="4">
        <v>304070</v>
      </c>
      <c r="TN27" s="4">
        <v>304070</v>
      </c>
      <c r="TO27" s="4">
        <v>304070</v>
      </c>
      <c r="TP27" s="4">
        <f t="shared" si="140"/>
        <v>3648840</v>
      </c>
      <c r="TQ27" s="4">
        <v>9000</v>
      </c>
      <c r="TR27" s="4">
        <v>9000</v>
      </c>
      <c r="TS27" s="4">
        <f>1061.35+9000</f>
        <v>10061.35</v>
      </c>
      <c r="TT27" s="4">
        <f>19680+9000</f>
        <v>28680</v>
      </c>
      <c r="TU27" s="4">
        <v>9000</v>
      </c>
      <c r="TV27" s="4">
        <f>9000+1057.5</f>
        <v>10057.5</v>
      </c>
      <c r="TW27" s="4">
        <v>9000</v>
      </c>
      <c r="TX27" s="4">
        <v>9000</v>
      </c>
      <c r="TY27" s="4">
        <v>9000</v>
      </c>
      <c r="TZ27" s="4">
        <v>9000</v>
      </c>
      <c r="UA27" s="4">
        <v>9000</v>
      </c>
      <c r="UB27" s="4">
        <v>9000</v>
      </c>
      <c r="UC27" s="4">
        <f t="shared" si="141"/>
        <v>129798.85</v>
      </c>
      <c r="UD27" s="4">
        <v>2230</v>
      </c>
      <c r="UE27" s="4">
        <v>2230</v>
      </c>
      <c r="UF27" s="4">
        <v>2230</v>
      </c>
      <c r="UG27" s="4">
        <v>2230</v>
      </c>
      <c r="UH27" s="4">
        <v>2230</v>
      </c>
      <c r="UI27" s="4">
        <v>2230</v>
      </c>
      <c r="UJ27" s="37">
        <f>648+2330</f>
        <v>2978</v>
      </c>
      <c r="UK27" s="4">
        <v>2330</v>
      </c>
      <c r="UL27" s="4">
        <v>2339</v>
      </c>
      <c r="UM27" s="4">
        <v>2339</v>
      </c>
      <c r="UN27" s="4">
        <v>2339</v>
      </c>
      <c r="UO27" s="4">
        <v>2339</v>
      </c>
      <c r="UP27" s="4">
        <f t="shared" si="142"/>
        <v>28044</v>
      </c>
      <c r="UQ27" s="4">
        <f t="shared" si="143"/>
        <v>3806682.85</v>
      </c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>
        <f t="shared" si="144"/>
        <v>0</v>
      </c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>
        <f t="shared" si="145"/>
        <v>0</v>
      </c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>
        <f t="shared" si="146"/>
        <v>0</v>
      </c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>
        <f t="shared" si="147"/>
        <v>0</v>
      </c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>
        <f t="shared" si="148"/>
        <v>0</v>
      </c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>
        <f t="shared" si="149"/>
        <v>0</v>
      </c>
      <c r="XR27" s="4">
        <f t="shared" si="151"/>
        <v>0</v>
      </c>
      <c r="XS27" s="13">
        <f t="shared" si="150"/>
        <v>3806682.85</v>
      </c>
    </row>
    <row r="28" spans="1:643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88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89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90"/>
        <v>0</v>
      </c>
      <c r="AQ28" s="4">
        <f t="shared" si="91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92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93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94"/>
        <v>0</v>
      </c>
      <c r="CE28" s="4">
        <f t="shared" si="95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96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97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98"/>
        <v>0</v>
      </c>
      <c r="DS28" s="4">
        <f t="shared" si="99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100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101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102"/>
        <v>0</v>
      </c>
      <c r="FG28" s="4">
        <f t="shared" si="103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104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105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106"/>
        <v>0</v>
      </c>
      <c r="GU28" s="4">
        <f t="shared" si="107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108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109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110"/>
        <v>0</v>
      </c>
      <c r="II28" s="4">
        <f t="shared" si="111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112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113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114"/>
        <v>0</v>
      </c>
      <c r="JW28" s="4">
        <f t="shared" si="115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116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117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118"/>
        <v>0</v>
      </c>
      <c r="LK28" s="4">
        <f t="shared" si="119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120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121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122"/>
        <v>0</v>
      </c>
      <c r="MY28" s="4">
        <f t="shared" si="123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124"/>
        <v>0</v>
      </c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>
        <f t="shared" si="125"/>
        <v>0</v>
      </c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>
        <f t="shared" si="126"/>
        <v>0</v>
      </c>
      <c r="OM28" s="4">
        <f t="shared" si="127"/>
        <v>0</v>
      </c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>
        <f t="shared" si="128"/>
        <v>0</v>
      </c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>
        <f t="shared" si="129"/>
        <v>0</v>
      </c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>
        <f t="shared" si="130"/>
        <v>0</v>
      </c>
      <c r="QA28" s="4">
        <f t="shared" si="131"/>
        <v>0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>
        <f t="shared" si="132"/>
        <v>0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>
        <f t="shared" si="133"/>
        <v>0</v>
      </c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>
        <f t="shared" si="134"/>
        <v>0</v>
      </c>
      <c r="RO28" s="4">
        <f t="shared" si="135"/>
        <v>0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>
        <f t="shared" si="136"/>
        <v>0</v>
      </c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>
        <f t="shared" si="137"/>
        <v>0</v>
      </c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f t="shared" si="138"/>
        <v>0</v>
      </c>
      <c r="TC28" s="4">
        <f t="shared" si="139"/>
        <v>0</v>
      </c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>
        <f t="shared" si="140"/>
        <v>0</v>
      </c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>
        <f t="shared" si="141"/>
        <v>0</v>
      </c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>
        <f t="shared" si="142"/>
        <v>0</v>
      </c>
      <c r="UQ28" s="4">
        <f t="shared" si="143"/>
        <v>0</v>
      </c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>
        <f t="shared" si="144"/>
        <v>0</v>
      </c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>
        <f t="shared" si="145"/>
        <v>0</v>
      </c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>
        <f t="shared" si="146"/>
        <v>0</v>
      </c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>
        <f t="shared" si="147"/>
        <v>0</v>
      </c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>
        <f t="shared" si="148"/>
        <v>0</v>
      </c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>
        <f t="shared" si="149"/>
        <v>0</v>
      </c>
      <c r="XR28" s="4">
        <f t="shared" si="151"/>
        <v>0</v>
      </c>
      <c r="XS28" s="13">
        <f t="shared" si="150"/>
        <v>0</v>
      </c>
    </row>
    <row r="29" spans="1:643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88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89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90"/>
        <v>0</v>
      </c>
      <c r="AQ29" s="4">
        <f t="shared" si="91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92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93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94"/>
        <v>0</v>
      </c>
      <c r="CE29" s="4">
        <f t="shared" si="95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96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97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98"/>
        <v>0</v>
      </c>
      <c r="DS29" s="4">
        <f t="shared" si="99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100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101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102"/>
        <v>0</v>
      </c>
      <c r="FG29" s="4">
        <f t="shared" si="103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104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105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106"/>
        <v>0</v>
      </c>
      <c r="GU29" s="4">
        <f t="shared" si="107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108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109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110"/>
        <v>0</v>
      </c>
      <c r="II29" s="4">
        <f t="shared" si="111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112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113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114"/>
        <v>0</v>
      </c>
      <c r="JW29" s="4">
        <f t="shared" si="115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116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117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118"/>
        <v>0</v>
      </c>
      <c r="LK29" s="4">
        <f t="shared" si="119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120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121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122"/>
        <v>0</v>
      </c>
      <c r="MY29" s="4">
        <f t="shared" si="123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124"/>
        <v>0</v>
      </c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>
        <f t="shared" si="125"/>
        <v>0</v>
      </c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>
        <f t="shared" si="126"/>
        <v>0</v>
      </c>
      <c r="OM29" s="4">
        <f t="shared" si="127"/>
        <v>0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f t="shared" si="128"/>
        <v>0</v>
      </c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>
        <f t="shared" si="129"/>
        <v>0</v>
      </c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>
        <f t="shared" si="130"/>
        <v>0</v>
      </c>
      <c r="QA29" s="4">
        <f t="shared" si="131"/>
        <v>0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>
        <f t="shared" si="132"/>
        <v>0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>
        <f t="shared" si="133"/>
        <v>0</v>
      </c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>
        <f t="shared" si="134"/>
        <v>0</v>
      </c>
      <c r="RO29" s="4">
        <f t="shared" si="135"/>
        <v>0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>
        <f t="shared" si="136"/>
        <v>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>
        <f t="shared" si="137"/>
        <v>0</v>
      </c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f t="shared" si="138"/>
        <v>0</v>
      </c>
      <c r="TC29" s="4">
        <f t="shared" si="139"/>
        <v>0</v>
      </c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>
        <f t="shared" si="140"/>
        <v>0</v>
      </c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>
        <f t="shared" si="141"/>
        <v>0</v>
      </c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>
        <f t="shared" si="142"/>
        <v>0</v>
      </c>
      <c r="UQ29" s="4">
        <f t="shared" si="143"/>
        <v>0</v>
      </c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>
        <f t="shared" si="144"/>
        <v>0</v>
      </c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>
        <f t="shared" si="145"/>
        <v>0</v>
      </c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>
        <f t="shared" si="146"/>
        <v>0</v>
      </c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>
        <f t="shared" si="147"/>
        <v>0</v>
      </c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>
        <f t="shared" si="148"/>
        <v>0</v>
      </c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>
        <f t="shared" si="149"/>
        <v>0</v>
      </c>
      <c r="XR29" s="4">
        <f t="shared" si="151"/>
        <v>0</v>
      </c>
      <c r="XS29" s="13">
        <f t="shared" si="150"/>
        <v>0</v>
      </c>
    </row>
    <row r="30" spans="1:643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88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89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90"/>
        <v>0</v>
      </c>
      <c r="AQ30" s="4">
        <f t="shared" si="91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92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93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94"/>
        <v>0</v>
      </c>
      <c r="CE30" s="4">
        <f t="shared" si="95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96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97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98"/>
        <v>0</v>
      </c>
      <c r="DS30" s="4">
        <f t="shared" si="99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100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101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102"/>
        <v>0</v>
      </c>
      <c r="FG30" s="4">
        <f t="shared" si="103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104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105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106"/>
        <v>0</v>
      </c>
      <c r="GU30" s="4">
        <f t="shared" si="107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108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109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110"/>
        <v>0</v>
      </c>
      <c r="II30" s="4">
        <f t="shared" si="111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112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113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114"/>
        <v>0</v>
      </c>
      <c r="JW30" s="4">
        <f t="shared" si="115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116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117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118"/>
        <v>0</v>
      </c>
      <c r="LK30" s="4">
        <f t="shared" si="119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120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121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122"/>
        <v>0</v>
      </c>
      <c r="MY30" s="4">
        <f t="shared" si="123"/>
        <v>0</v>
      </c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>
        <f t="shared" si="124"/>
        <v>0</v>
      </c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>
        <f t="shared" si="125"/>
        <v>0</v>
      </c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>
        <f t="shared" si="126"/>
        <v>0</v>
      </c>
      <c r="OM30" s="4">
        <f t="shared" si="127"/>
        <v>0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>
        <f t="shared" si="128"/>
        <v>0</v>
      </c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>
        <f t="shared" si="129"/>
        <v>0</v>
      </c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>
        <f t="shared" si="130"/>
        <v>0</v>
      </c>
      <c r="QA30" s="4">
        <f t="shared" si="131"/>
        <v>0</v>
      </c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>
        <f t="shared" si="132"/>
        <v>0</v>
      </c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>
        <f t="shared" si="133"/>
        <v>0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>
        <f t="shared" si="134"/>
        <v>0</v>
      </c>
      <c r="RO30" s="4">
        <f t="shared" si="135"/>
        <v>0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>
        <f t="shared" si="136"/>
        <v>0</v>
      </c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>
        <f t="shared" si="137"/>
        <v>0</v>
      </c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>
        <f t="shared" si="138"/>
        <v>0</v>
      </c>
      <c r="TC30" s="4">
        <f t="shared" si="139"/>
        <v>0</v>
      </c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>
        <f t="shared" si="140"/>
        <v>0</v>
      </c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>
        <f t="shared" si="141"/>
        <v>0</v>
      </c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>
        <f t="shared" si="142"/>
        <v>0</v>
      </c>
      <c r="UQ30" s="4">
        <f t="shared" si="143"/>
        <v>0</v>
      </c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>
        <f t="shared" si="144"/>
        <v>0</v>
      </c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>
        <f t="shared" si="145"/>
        <v>0</v>
      </c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>
        <f t="shared" si="146"/>
        <v>0</v>
      </c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>
        <f t="shared" si="147"/>
        <v>0</v>
      </c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>
        <f t="shared" si="148"/>
        <v>0</v>
      </c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>
        <f t="shared" si="149"/>
        <v>0</v>
      </c>
      <c r="XR30" s="4">
        <f t="shared" si="151"/>
        <v>0</v>
      </c>
      <c r="XS30" s="13">
        <f t="shared" si="150"/>
        <v>0</v>
      </c>
    </row>
    <row r="31" spans="1:643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88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89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90"/>
        <v>0</v>
      </c>
      <c r="AQ31" s="4">
        <f t="shared" si="91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92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93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94"/>
        <v>0</v>
      </c>
      <c r="CE31" s="4">
        <f t="shared" si="95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96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97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98"/>
        <v>0</v>
      </c>
      <c r="DS31" s="4">
        <f t="shared" si="99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100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101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102"/>
        <v>0</v>
      </c>
      <c r="FG31" s="4">
        <f t="shared" si="103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104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105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106"/>
        <v>0</v>
      </c>
      <c r="GU31" s="4">
        <f t="shared" si="107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108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109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110"/>
        <v>0</v>
      </c>
      <c r="II31" s="4">
        <f t="shared" si="111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112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113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114"/>
        <v>0</v>
      </c>
      <c r="JW31" s="4">
        <f t="shared" si="115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116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117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118"/>
        <v>0</v>
      </c>
      <c r="LK31" s="4">
        <f t="shared" si="119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120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121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122"/>
        <v>0</v>
      </c>
      <c r="MY31" s="4">
        <f t="shared" si="123"/>
        <v>0</v>
      </c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>
        <f t="shared" si="124"/>
        <v>0</v>
      </c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>
        <f t="shared" si="125"/>
        <v>0</v>
      </c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>
        <f t="shared" si="126"/>
        <v>0</v>
      </c>
      <c r="OM31" s="4">
        <f t="shared" si="127"/>
        <v>0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>
        <f t="shared" si="128"/>
        <v>0</v>
      </c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>
        <f t="shared" si="129"/>
        <v>0</v>
      </c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>
        <f t="shared" si="130"/>
        <v>0</v>
      </c>
      <c r="QA31" s="4">
        <f t="shared" si="131"/>
        <v>0</v>
      </c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>
        <f t="shared" si="132"/>
        <v>0</v>
      </c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>
        <f t="shared" si="133"/>
        <v>0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>
        <f t="shared" si="134"/>
        <v>0</v>
      </c>
      <c r="RO31" s="4">
        <f t="shared" si="135"/>
        <v>0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>
        <f t="shared" si="136"/>
        <v>0</v>
      </c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>
        <f t="shared" si="137"/>
        <v>0</v>
      </c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>
        <f t="shared" si="138"/>
        <v>0</v>
      </c>
      <c r="TC31" s="4">
        <f t="shared" si="139"/>
        <v>0</v>
      </c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>
        <f t="shared" si="140"/>
        <v>0</v>
      </c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>
        <f t="shared" si="141"/>
        <v>0</v>
      </c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>
        <f t="shared" si="142"/>
        <v>0</v>
      </c>
      <c r="UQ31" s="4">
        <f t="shared" si="143"/>
        <v>0</v>
      </c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>
        <f t="shared" si="144"/>
        <v>0</v>
      </c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>
        <f t="shared" si="145"/>
        <v>0</v>
      </c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>
        <f t="shared" si="146"/>
        <v>0</v>
      </c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>
        <f t="shared" si="147"/>
        <v>0</v>
      </c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>
        <f t="shared" si="148"/>
        <v>0</v>
      </c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>
        <f t="shared" si="149"/>
        <v>0</v>
      </c>
      <c r="XR31" s="4">
        <f t="shared" si="151"/>
        <v>0</v>
      </c>
      <c r="XS31" s="13">
        <f t="shared" si="150"/>
        <v>0</v>
      </c>
    </row>
    <row r="32" spans="1:643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88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89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90"/>
        <v>0</v>
      </c>
      <c r="AQ32" s="4">
        <f t="shared" si="91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92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93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94"/>
        <v>0</v>
      </c>
      <c r="CE32" s="4">
        <f t="shared" si="95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96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97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98"/>
        <v>0</v>
      </c>
      <c r="DS32" s="4">
        <f t="shared" si="99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100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101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102"/>
        <v>0</v>
      </c>
      <c r="FG32" s="4">
        <f t="shared" si="103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104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105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106"/>
        <v>0</v>
      </c>
      <c r="GU32" s="4">
        <f t="shared" si="107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108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109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110"/>
        <v>0</v>
      </c>
      <c r="II32" s="4">
        <f t="shared" si="111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112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113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114"/>
        <v>0</v>
      </c>
      <c r="JW32" s="4">
        <f t="shared" si="115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116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117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118"/>
        <v>0</v>
      </c>
      <c r="LK32" s="4">
        <f t="shared" si="119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120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121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122"/>
        <v>0</v>
      </c>
      <c r="MY32" s="4">
        <f t="shared" si="123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124"/>
        <v>0</v>
      </c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>
        <f t="shared" si="125"/>
        <v>0</v>
      </c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>
        <f t="shared" si="126"/>
        <v>0</v>
      </c>
      <c r="OM32" s="4">
        <f t="shared" si="127"/>
        <v>0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f t="shared" si="128"/>
        <v>0</v>
      </c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>
        <f t="shared" si="129"/>
        <v>0</v>
      </c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>
        <f t="shared" si="130"/>
        <v>0</v>
      </c>
      <c r="QA32" s="4">
        <f t="shared" si="131"/>
        <v>0</v>
      </c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>
        <f t="shared" si="132"/>
        <v>0</v>
      </c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>
        <f t="shared" si="133"/>
        <v>0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>
        <f t="shared" si="134"/>
        <v>0</v>
      </c>
      <c r="RO32" s="4">
        <f t="shared" si="135"/>
        <v>0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f t="shared" si="136"/>
        <v>0</v>
      </c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>
        <f t="shared" si="137"/>
        <v>0</v>
      </c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>
        <f t="shared" si="138"/>
        <v>0</v>
      </c>
      <c r="TC32" s="4">
        <f t="shared" si="139"/>
        <v>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>
        <f t="shared" si="140"/>
        <v>0</v>
      </c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>
        <f t="shared" si="141"/>
        <v>0</v>
      </c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>
        <f t="shared" si="142"/>
        <v>0</v>
      </c>
      <c r="UQ32" s="4">
        <f t="shared" si="143"/>
        <v>0</v>
      </c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>
        <f t="shared" si="144"/>
        <v>0</v>
      </c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>
        <f t="shared" si="145"/>
        <v>0</v>
      </c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>
        <f t="shared" si="146"/>
        <v>0</v>
      </c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>
        <f t="shared" si="147"/>
        <v>0</v>
      </c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>
        <f t="shared" si="148"/>
        <v>0</v>
      </c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>
        <f t="shared" si="149"/>
        <v>0</v>
      </c>
      <c r="XR32" s="4">
        <f t="shared" si="151"/>
        <v>0</v>
      </c>
      <c r="XS32" s="13">
        <f t="shared" si="150"/>
        <v>0</v>
      </c>
    </row>
    <row r="33" spans="1:643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88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89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90"/>
        <v>0</v>
      </c>
      <c r="AQ33" s="4">
        <f t="shared" si="91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92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93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94"/>
        <v>0</v>
      </c>
      <c r="CE33" s="4">
        <f t="shared" si="95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96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97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98"/>
        <v>0</v>
      </c>
      <c r="DS33" s="4">
        <f t="shared" si="99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100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101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102"/>
        <v>0</v>
      </c>
      <c r="FG33" s="4">
        <f t="shared" si="103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104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105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106"/>
        <v>0</v>
      </c>
      <c r="GU33" s="4">
        <f t="shared" si="107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108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109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110"/>
        <v>0</v>
      </c>
      <c r="II33" s="4">
        <f t="shared" si="111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112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113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114"/>
        <v>0</v>
      </c>
      <c r="JW33" s="4">
        <f t="shared" si="115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116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117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118"/>
        <v>0</v>
      </c>
      <c r="LK33" s="4">
        <f t="shared" si="119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120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121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122"/>
        <v>0</v>
      </c>
      <c r="MY33" s="4">
        <f t="shared" si="123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124"/>
        <v>0</v>
      </c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>
        <f t="shared" si="125"/>
        <v>0</v>
      </c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>
        <f t="shared" si="126"/>
        <v>0</v>
      </c>
      <c r="OM33" s="4">
        <f t="shared" si="127"/>
        <v>0</v>
      </c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>
        <f t="shared" si="128"/>
        <v>0</v>
      </c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>
        <f t="shared" si="129"/>
        <v>0</v>
      </c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>
        <f t="shared" si="130"/>
        <v>0</v>
      </c>
      <c r="QA33" s="4">
        <f t="shared" si="131"/>
        <v>0</v>
      </c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>
        <f t="shared" si="132"/>
        <v>0</v>
      </c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>
        <f t="shared" si="133"/>
        <v>0</v>
      </c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>
        <f t="shared" si="134"/>
        <v>0</v>
      </c>
      <c r="RO33" s="4">
        <f t="shared" si="135"/>
        <v>0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f t="shared" si="136"/>
        <v>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>
        <f t="shared" si="137"/>
        <v>0</v>
      </c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>
        <f t="shared" si="138"/>
        <v>0</v>
      </c>
      <c r="TC33" s="4">
        <f t="shared" si="139"/>
        <v>0</v>
      </c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>
        <f t="shared" si="140"/>
        <v>0</v>
      </c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>
        <f t="shared" si="141"/>
        <v>0</v>
      </c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>
        <f t="shared" si="142"/>
        <v>0</v>
      </c>
      <c r="UQ33" s="4">
        <f t="shared" si="143"/>
        <v>0</v>
      </c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>
        <f t="shared" si="144"/>
        <v>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>
        <f t="shared" si="145"/>
        <v>0</v>
      </c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>
        <f t="shared" si="146"/>
        <v>0</v>
      </c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>
        <f t="shared" si="147"/>
        <v>0</v>
      </c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>
        <f t="shared" si="148"/>
        <v>0</v>
      </c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>
        <f t="shared" si="149"/>
        <v>0</v>
      </c>
      <c r="XR33" s="4">
        <f t="shared" si="151"/>
        <v>0</v>
      </c>
      <c r="XS33" s="13">
        <f t="shared" si="150"/>
        <v>0</v>
      </c>
    </row>
    <row r="34" spans="1:643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88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89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90"/>
        <v>0</v>
      </c>
      <c r="AQ34" s="4">
        <f t="shared" si="91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92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93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94"/>
        <v>0</v>
      </c>
      <c r="CE34" s="4">
        <f t="shared" si="95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96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97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98"/>
        <v>0</v>
      </c>
      <c r="DS34" s="4">
        <f t="shared" si="99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100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101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102"/>
        <v>0</v>
      </c>
      <c r="FG34" s="4">
        <f t="shared" si="103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104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105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106"/>
        <v>0</v>
      </c>
      <c r="GU34" s="4">
        <f t="shared" si="107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108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109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110"/>
        <v>0</v>
      </c>
      <c r="II34" s="4">
        <f t="shared" si="111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112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113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114"/>
        <v>0</v>
      </c>
      <c r="JW34" s="4">
        <f t="shared" si="115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116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117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118"/>
        <v>0</v>
      </c>
      <c r="LK34" s="4">
        <f t="shared" si="119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120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121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122"/>
        <v>0</v>
      </c>
      <c r="MY34" s="4">
        <f t="shared" si="123"/>
        <v>0</v>
      </c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>
        <f t="shared" si="124"/>
        <v>0</v>
      </c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>
        <f t="shared" si="125"/>
        <v>0</v>
      </c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>
        <f t="shared" si="126"/>
        <v>0</v>
      </c>
      <c r="OM34" s="4">
        <f t="shared" si="127"/>
        <v>0</v>
      </c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>
        <f t="shared" si="128"/>
        <v>0</v>
      </c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>
        <f t="shared" si="129"/>
        <v>0</v>
      </c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>
        <f t="shared" si="130"/>
        <v>0</v>
      </c>
      <c r="QA34" s="4">
        <f t="shared" si="131"/>
        <v>0</v>
      </c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>
        <f t="shared" si="132"/>
        <v>0</v>
      </c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>
        <f t="shared" si="133"/>
        <v>0</v>
      </c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>
        <f t="shared" si="134"/>
        <v>0</v>
      </c>
      <c r="RO34" s="4">
        <f t="shared" si="135"/>
        <v>0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>
        <f t="shared" si="136"/>
        <v>0</v>
      </c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>
        <f t="shared" si="137"/>
        <v>0</v>
      </c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>
        <f t="shared" si="138"/>
        <v>0</v>
      </c>
      <c r="TC34" s="4">
        <f t="shared" si="139"/>
        <v>0</v>
      </c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>
        <f t="shared" si="140"/>
        <v>0</v>
      </c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>
        <f t="shared" si="141"/>
        <v>0</v>
      </c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>
        <f t="shared" si="142"/>
        <v>0</v>
      </c>
      <c r="UQ34" s="4">
        <f t="shared" si="143"/>
        <v>0</v>
      </c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>
        <f t="shared" si="144"/>
        <v>0</v>
      </c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>
        <f t="shared" si="145"/>
        <v>0</v>
      </c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>
        <f t="shared" si="146"/>
        <v>0</v>
      </c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>
        <f t="shared" si="147"/>
        <v>0</v>
      </c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>
        <f t="shared" si="148"/>
        <v>0</v>
      </c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>
        <f t="shared" si="149"/>
        <v>0</v>
      </c>
      <c r="XR34" s="4">
        <f t="shared" si="151"/>
        <v>0</v>
      </c>
      <c r="XS34" s="13">
        <f t="shared" si="150"/>
        <v>0</v>
      </c>
    </row>
    <row r="35" spans="1:643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88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89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90"/>
        <v>0</v>
      </c>
      <c r="AQ35" s="4">
        <f t="shared" si="91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92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93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94"/>
        <v>0</v>
      </c>
      <c r="CE35" s="4">
        <f t="shared" si="95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96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97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98"/>
        <v>0</v>
      </c>
      <c r="DS35" s="4">
        <f t="shared" si="99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100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101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102"/>
        <v>0</v>
      </c>
      <c r="FG35" s="4">
        <f t="shared" si="103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104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105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106"/>
        <v>0</v>
      </c>
      <c r="GU35" s="4">
        <f t="shared" si="107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108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109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110"/>
        <v>0</v>
      </c>
      <c r="II35" s="4">
        <f t="shared" si="111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112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113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114"/>
        <v>0</v>
      </c>
      <c r="JW35" s="4">
        <f t="shared" si="115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116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117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118"/>
        <v>0</v>
      </c>
      <c r="LK35" s="4">
        <f t="shared" si="119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120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121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122"/>
        <v>0</v>
      </c>
      <c r="MY35" s="4">
        <f t="shared" si="123"/>
        <v>0</v>
      </c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4">
        <f t="shared" si="124"/>
        <v>0</v>
      </c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4">
        <f t="shared" si="125"/>
        <v>0</v>
      </c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4">
        <f t="shared" si="126"/>
        <v>0</v>
      </c>
      <c r="OM35" s="4">
        <f t="shared" si="127"/>
        <v>0</v>
      </c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4">
        <f t="shared" si="128"/>
        <v>0</v>
      </c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4">
        <f t="shared" si="129"/>
        <v>0</v>
      </c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4">
        <f t="shared" si="130"/>
        <v>0</v>
      </c>
      <c r="QA35" s="4">
        <f t="shared" si="131"/>
        <v>0</v>
      </c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4">
        <f t="shared" si="132"/>
        <v>0</v>
      </c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4">
        <f t="shared" si="133"/>
        <v>0</v>
      </c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4">
        <f t="shared" si="134"/>
        <v>0</v>
      </c>
      <c r="RO35" s="4">
        <f t="shared" si="135"/>
        <v>0</v>
      </c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4">
        <f t="shared" si="136"/>
        <v>0</v>
      </c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4">
        <f t="shared" si="137"/>
        <v>0</v>
      </c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4">
        <f t="shared" si="138"/>
        <v>0</v>
      </c>
      <c r="TC35" s="4">
        <f t="shared" si="139"/>
        <v>0</v>
      </c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4">
        <f t="shared" si="140"/>
        <v>0</v>
      </c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4">
        <f t="shared" si="141"/>
        <v>0</v>
      </c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4">
        <f t="shared" si="142"/>
        <v>0</v>
      </c>
      <c r="UQ35" s="4">
        <f t="shared" si="143"/>
        <v>0</v>
      </c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4">
        <f t="shared" si="144"/>
        <v>0</v>
      </c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4">
        <f t="shared" si="145"/>
        <v>0</v>
      </c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4">
        <f t="shared" si="146"/>
        <v>0</v>
      </c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4">
        <f t="shared" si="147"/>
        <v>0</v>
      </c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4">
        <f t="shared" si="148"/>
        <v>0</v>
      </c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4">
        <f t="shared" si="149"/>
        <v>0</v>
      </c>
      <c r="XR35" s="4">
        <f t="shared" si="151"/>
        <v>0</v>
      </c>
      <c r="XS35" s="13">
        <f t="shared" si="150"/>
        <v>0</v>
      </c>
    </row>
    <row r="36" spans="1:643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88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89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90"/>
        <v>0</v>
      </c>
      <c r="AQ36" s="4">
        <f t="shared" si="91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92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93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94"/>
        <v>0</v>
      </c>
      <c r="CE36" s="4">
        <f t="shared" si="95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96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97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98"/>
        <v>0</v>
      </c>
      <c r="DS36" s="4">
        <f t="shared" si="99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100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101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102"/>
        <v>0</v>
      </c>
      <c r="FG36" s="4">
        <f t="shared" si="103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104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105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106"/>
        <v>0</v>
      </c>
      <c r="GU36" s="4">
        <f t="shared" si="107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108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109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110"/>
        <v>0</v>
      </c>
      <c r="II36" s="4">
        <f t="shared" si="111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112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113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114"/>
        <v>0</v>
      </c>
      <c r="JW36" s="4">
        <f t="shared" si="115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116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117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118"/>
        <v>0</v>
      </c>
      <c r="LK36" s="4">
        <f t="shared" si="119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120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121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122"/>
        <v>0</v>
      </c>
      <c r="MY36" s="4">
        <f t="shared" si="123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124"/>
        <v>0</v>
      </c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4">
        <f t="shared" si="125"/>
        <v>0</v>
      </c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4">
        <f t="shared" si="126"/>
        <v>0</v>
      </c>
      <c r="OM36" s="4">
        <f t="shared" si="127"/>
        <v>0</v>
      </c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4">
        <f t="shared" si="128"/>
        <v>0</v>
      </c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4">
        <f t="shared" si="129"/>
        <v>0</v>
      </c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4">
        <f t="shared" si="130"/>
        <v>0</v>
      </c>
      <c r="QA36" s="4">
        <f t="shared" si="131"/>
        <v>0</v>
      </c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4">
        <f t="shared" si="132"/>
        <v>0</v>
      </c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4">
        <f t="shared" si="133"/>
        <v>0</v>
      </c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4">
        <f t="shared" si="134"/>
        <v>0</v>
      </c>
      <c r="RO36" s="4">
        <f t="shared" si="135"/>
        <v>0</v>
      </c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4">
        <f t="shared" si="136"/>
        <v>0</v>
      </c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4">
        <f t="shared" si="137"/>
        <v>0</v>
      </c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4">
        <f t="shared" si="138"/>
        <v>0</v>
      </c>
      <c r="TC36" s="4">
        <f t="shared" si="139"/>
        <v>0</v>
      </c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4">
        <f t="shared" si="140"/>
        <v>0</v>
      </c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4">
        <f t="shared" si="141"/>
        <v>0</v>
      </c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4">
        <f t="shared" si="142"/>
        <v>0</v>
      </c>
      <c r="UQ36" s="4">
        <f t="shared" si="143"/>
        <v>0</v>
      </c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4">
        <f t="shared" si="144"/>
        <v>0</v>
      </c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4">
        <f t="shared" si="145"/>
        <v>0</v>
      </c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4">
        <f t="shared" si="146"/>
        <v>0</v>
      </c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4">
        <f t="shared" si="147"/>
        <v>0</v>
      </c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4">
        <f t="shared" si="148"/>
        <v>0</v>
      </c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4">
        <f t="shared" si="149"/>
        <v>0</v>
      </c>
      <c r="XR36" s="4">
        <f t="shared" si="151"/>
        <v>0</v>
      </c>
      <c r="XS36" s="13">
        <f t="shared" si="150"/>
        <v>0</v>
      </c>
    </row>
    <row r="37" spans="1:643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88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89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90"/>
        <v>0</v>
      </c>
      <c r="AQ37" s="4">
        <f t="shared" si="91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92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93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94"/>
        <v>0</v>
      </c>
      <c r="CE37" s="4">
        <f t="shared" si="95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96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97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98"/>
        <v>0</v>
      </c>
      <c r="DS37" s="4">
        <f t="shared" si="99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100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101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102"/>
        <v>0</v>
      </c>
      <c r="FG37" s="4">
        <f t="shared" si="103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104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105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106"/>
        <v>0</v>
      </c>
      <c r="GU37" s="4">
        <f t="shared" si="107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108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109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110"/>
        <v>0</v>
      </c>
      <c r="II37" s="4">
        <f t="shared" si="111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112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113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114"/>
        <v>0</v>
      </c>
      <c r="JW37" s="4">
        <f t="shared" si="115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116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117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118"/>
        <v>0</v>
      </c>
      <c r="LK37" s="4">
        <f t="shared" si="119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120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121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122"/>
        <v>0</v>
      </c>
      <c r="MY37" s="4">
        <f t="shared" si="123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124"/>
        <v>0</v>
      </c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4">
        <f t="shared" si="125"/>
        <v>0</v>
      </c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4">
        <f t="shared" si="126"/>
        <v>0</v>
      </c>
      <c r="OM37" s="4">
        <f t="shared" si="127"/>
        <v>0</v>
      </c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4">
        <f t="shared" si="128"/>
        <v>0</v>
      </c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4">
        <f t="shared" si="129"/>
        <v>0</v>
      </c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4">
        <f t="shared" si="130"/>
        <v>0</v>
      </c>
      <c r="QA37" s="4">
        <f t="shared" si="131"/>
        <v>0</v>
      </c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4">
        <f t="shared" si="132"/>
        <v>0</v>
      </c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4">
        <f t="shared" si="133"/>
        <v>0</v>
      </c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4">
        <f t="shared" si="134"/>
        <v>0</v>
      </c>
      <c r="RO37" s="4">
        <f t="shared" si="135"/>
        <v>0</v>
      </c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4">
        <f t="shared" si="136"/>
        <v>0</v>
      </c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4">
        <f t="shared" si="137"/>
        <v>0</v>
      </c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4">
        <f t="shared" si="138"/>
        <v>0</v>
      </c>
      <c r="TC37" s="4">
        <f t="shared" si="139"/>
        <v>0</v>
      </c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4">
        <f t="shared" si="140"/>
        <v>0</v>
      </c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4">
        <f t="shared" si="141"/>
        <v>0</v>
      </c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4">
        <f t="shared" si="142"/>
        <v>0</v>
      </c>
      <c r="UQ37" s="4">
        <f t="shared" si="143"/>
        <v>0</v>
      </c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4">
        <f t="shared" si="144"/>
        <v>0</v>
      </c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4">
        <f t="shared" si="145"/>
        <v>0</v>
      </c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4">
        <f t="shared" si="146"/>
        <v>0</v>
      </c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4">
        <f t="shared" si="147"/>
        <v>0</v>
      </c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4">
        <f t="shared" si="148"/>
        <v>0</v>
      </c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4">
        <f t="shared" si="149"/>
        <v>0</v>
      </c>
      <c r="XR37" s="4">
        <f t="shared" si="151"/>
        <v>0</v>
      </c>
      <c r="XS37" s="13">
        <f t="shared" si="150"/>
        <v>0</v>
      </c>
    </row>
    <row r="38" spans="1:643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88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89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90"/>
        <v>0</v>
      </c>
      <c r="AQ38" s="4">
        <f t="shared" si="91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92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93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94"/>
        <v>0</v>
      </c>
      <c r="CE38" s="4">
        <f t="shared" si="95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96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97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98"/>
        <v>0</v>
      </c>
      <c r="DS38" s="4">
        <f t="shared" si="99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100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101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102"/>
        <v>0</v>
      </c>
      <c r="FG38" s="4">
        <f t="shared" si="103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104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105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106"/>
        <v>0</v>
      </c>
      <c r="GU38" s="4">
        <f t="shared" si="107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108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109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110"/>
        <v>0</v>
      </c>
      <c r="II38" s="4">
        <f t="shared" si="111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112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113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114"/>
        <v>0</v>
      </c>
      <c r="JW38" s="4">
        <f t="shared" si="115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116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117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118"/>
        <v>0</v>
      </c>
      <c r="LK38" s="4">
        <f t="shared" si="119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120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121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122"/>
        <v>0</v>
      </c>
      <c r="MY38" s="4">
        <f t="shared" si="123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124"/>
        <v>0</v>
      </c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4">
        <f t="shared" si="125"/>
        <v>0</v>
      </c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4">
        <f t="shared" si="126"/>
        <v>0</v>
      </c>
      <c r="OM38" s="4">
        <f t="shared" si="127"/>
        <v>0</v>
      </c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4">
        <f t="shared" si="128"/>
        <v>0</v>
      </c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4">
        <f t="shared" si="129"/>
        <v>0</v>
      </c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4">
        <f t="shared" si="130"/>
        <v>0</v>
      </c>
      <c r="QA38" s="4">
        <f t="shared" si="131"/>
        <v>0</v>
      </c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4">
        <f t="shared" si="132"/>
        <v>0</v>
      </c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4">
        <f t="shared" si="133"/>
        <v>0</v>
      </c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4">
        <f t="shared" si="134"/>
        <v>0</v>
      </c>
      <c r="RO38" s="4">
        <f t="shared" si="135"/>
        <v>0</v>
      </c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4">
        <f t="shared" si="136"/>
        <v>0</v>
      </c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4">
        <f t="shared" si="137"/>
        <v>0</v>
      </c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4">
        <f t="shared" si="138"/>
        <v>0</v>
      </c>
      <c r="TC38" s="4">
        <f t="shared" si="139"/>
        <v>0</v>
      </c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4">
        <f t="shared" si="140"/>
        <v>0</v>
      </c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4">
        <f t="shared" si="141"/>
        <v>0</v>
      </c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4">
        <f t="shared" si="142"/>
        <v>0</v>
      </c>
      <c r="UQ38" s="4">
        <f t="shared" si="143"/>
        <v>0</v>
      </c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4">
        <f t="shared" si="144"/>
        <v>0</v>
      </c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4">
        <f t="shared" si="145"/>
        <v>0</v>
      </c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4">
        <f t="shared" si="146"/>
        <v>0</v>
      </c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4">
        <f t="shared" si="147"/>
        <v>0</v>
      </c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4">
        <f t="shared" si="148"/>
        <v>0</v>
      </c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4">
        <f t="shared" si="149"/>
        <v>0</v>
      </c>
      <c r="XR38" s="4">
        <f t="shared" si="151"/>
        <v>0</v>
      </c>
      <c r="XS38" s="13">
        <f t="shared" si="150"/>
        <v>0</v>
      </c>
    </row>
    <row r="39" spans="1:643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88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89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90"/>
        <v>0</v>
      </c>
      <c r="AQ39" s="4">
        <f t="shared" si="91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92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93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94"/>
        <v>0</v>
      </c>
      <c r="CE39" s="4">
        <f t="shared" si="95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96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97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98"/>
        <v>0</v>
      </c>
      <c r="DS39" s="4">
        <f t="shared" si="99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100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101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102"/>
        <v>0</v>
      </c>
      <c r="FG39" s="4">
        <f t="shared" si="103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104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105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106"/>
        <v>0</v>
      </c>
      <c r="GU39" s="4">
        <f t="shared" si="107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108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109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110"/>
        <v>0</v>
      </c>
      <c r="II39" s="4">
        <f t="shared" si="111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112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113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114"/>
        <v>0</v>
      </c>
      <c r="JW39" s="4">
        <f t="shared" si="115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116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117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118"/>
        <v>0</v>
      </c>
      <c r="LK39" s="4">
        <f t="shared" si="119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120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121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122"/>
        <v>0</v>
      </c>
      <c r="MY39" s="4">
        <f t="shared" si="123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124"/>
        <v>0</v>
      </c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4">
        <f t="shared" si="125"/>
        <v>0</v>
      </c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4">
        <f t="shared" si="126"/>
        <v>0</v>
      </c>
      <c r="OM39" s="4">
        <f t="shared" si="127"/>
        <v>0</v>
      </c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4">
        <f t="shared" si="128"/>
        <v>0</v>
      </c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4">
        <f t="shared" si="129"/>
        <v>0</v>
      </c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4">
        <f t="shared" si="130"/>
        <v>0</v>
      </c>
      <c r="QA39" s="4">
        <f t="shared" si="131"/>
        <v>0</v>
      </c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4">
        <f t="shared" si="132"/>
        <v>0</v>
      </c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4">
        <f t="shared" si="133"/>
        <v>0</v>
      </c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4">
        <f t="shared" si="134"/>
        <v>0</v>
      </c>
      <c r="RO39" s="4">
        <f t="shared" si="135"/>
        <v>0</v>
      </c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4">
        <f t="shared" si="136"/>
        <v>0</v>
      </c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4">
        <f t="shared" si="137"/>
        <v>0</v>
      </c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4">
        <f t="shared" si="138"/>
        <v>0</v>
      </c>
      <c r="TC39" s="4">
        <f t="shared" si="139"/>
        <v>0</v>
      </c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4">
        <f t="shared" si="140"/>
        <v>0</v>
      </c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4">
        <f t="shared" si="141"/>
        <v>0</v>
      </c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4">
        <f t="shared" si="142"/>
        <v>0</v>
      </c>
      <c r="UQ39" s="4">
        <f t="shared" si="143"/>
        <v>0</v>
      </c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4">
        <f t="shared" si="144"/>
        <v>0</v>
      </c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4">
        <f t="shared" si="145"/>
        <v>0</v>
      </c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4">
        <f t="shared" si="146"/>
        <v>0</v>
      </c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4">
        <f t="shared" si="147"/>
        <v>0</v>
      </c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4">
        <f t="shared" si="148"/>
        <v>0</v>
      </c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4">
        <f t="shared" si="149"/>
        <v>0</v>
      </c>
      <c r="XR39" s="4">
        <f t="shared" si="151"/>
        <v>0</v>
      </c>
      <c r="XS39" s="13">
        <f t="shared" si="150"/>
        <v>0</v>
      </c>
    </row>
    <row r="40" spans="1:643" s="10" customFormat="1" ht="21.75" thickBot="1" x14ac:dyDescent="0.4">
      <c r="A40" s="8"/>
      <c r="B40" s="8"/>
      <c r="C40" s="8"/>
      <c r="D40" s="9">
        <f>SUM(D6:D39)</f>
        <v>211460</v>
      </c>
      <c r="E40" s="9">
        <f t="shared" ref="E40:O40" si="152">SUM(E6:E39)</f>
        <v>211460</v>
      </c>
      <c r="F40" s="9">
        <f t="shared" si="152"/>
        <v>211460</v>
      </c>
      <c r="G40" s="9">
        <f t="shared" si="152"/>
        <v>211460</v>
      </c>
      <c r="H40" s="9">
        <f t="shared" si="152"/>
        <v>211460</v>
      </c>
      <c r="I40" s="9">
        <f t="shared" si="152"/>
        <v>211460</v>
      </c>
      <c r="J40" s="9">
        <f t="shared" si="152"/>
        <v>276980</v>
      </c>
      <c r="K40" s="9">
        <f t="shared" si="152"/>
        <v>220820</v>
      </c>
      <c r="L40" s="9">
        <f t="shared" si="152"/>
        <v>220820</v>
      </c>
      <c r="M40" s="9">
        <f t="shared" si="152"/>
        <v>220820</v>
      </c>
      <c r="N40" s="9">
        <f t="shared" si="152"/>
        <v>220820</v>
      </c>
      <c r="O40" s="9">
        <f t="shared" si="152"/>
        <v>220820</v>
      </c>
      <c r="P40" s="25">
        <f t="shared" si="88"/>
        <v>2649840</v>
      </c>
      <c r="Q40" s="9">
        <f>SUM(Q6:Q39)</f>
        <v>5250</v>
      </c>
      <c r="R40" s="9">
        <f t="shared" ref="R40:AB40" si="153">SUM(R6:R39)</f>
        <v>5250</v>
      </c>
      <c r="S40" s="9">
        <f t="shared" si="153"/>
        <v>5250</v>
      </c>
      <c r="T40" s="9">
        <f t="shared" si="153"/>
        <v>5250</v>
      </c>
      <c r="U40" s="9">
        <f t="shared" si="153"/>
        <v>5250</v>
      </c>
      <c r="V40" s="9">
        <f t="shared" si="153"/>
        <v>5250</v>
      </c>
      <c r="W40" s="9">
        <f t="shared" si="153"/>
        <v>5250</v>
      </c>
      <c r="X40" s="9">
        <f t="shared" si="153"/>
        <v>5250</v>
      </c>
      <c r="Y40" s="9">
        <f t="shared" si="153"/>
        <v>5250</v>
      </c>
      <c r="Z40" s="9">
        <f t="shared" si="153"/>
        <v>5250</v>
      </c>
      <c r="AA40" s="9">
        <f t="shared" si="153"/>
        <v>5250</v>
      </c>
      <c r="AB40" s="9">
        <f t="shared" si="153"/>
        <v>5250</v>
      </c>
      <c r="AC40" s="25">
        <f t="shared" si="89"/>
        <v>63000</v>
      </c>
      <c r="AD40" s="9">
        <f>SUM(AD6:AD39)</f>
        <v>1785</v>
      </c>
      <c r="AE40" s="9">
        <f t="shared" ref="AE40:AO40" si="154">SUM(AE6:AE39)</f>
        <v>1785</v>
      </c>
      <c r="AF40" s="9">
        <f t="shared" si="154"/>
        <v>1785</v>
      </c>
      <c r="AG40" s="9">
        <f t="shared" si="154"/>
        <v>1785</v>
      </c>
      <c r="AH40" s="9">
        <f t="shared" si="154"/>
        <v>1785</v>
      </c>
      <c r="AI40" s="9">
        <f t="shared" si="154"/>
        <v>1785</v>
      </c>
      <c r="AJ40" s="9">
        <f t="shared" si="154"/>
        <v>2310</v>
      </c>
      <c r="AK40" s="9">
        <f t="shared" si="154"/>
        <v>1860</v>
      </c>
      <c r="AL40" s="9">
        <f t="shared" si="154"/>
        <v>1860</v>
      </c>
      <c r="AM40" s="9">
        <f t="shared" si="154"/>
        <v>1860</v>
      </c>
      <c r="AN40" s="9">
        <f t="shared" si="154"/>
        <v>1860</v>
      </c>
      <c r="AO40" s="9">
        <f t="shared" si="154"/>
        <v>1860</v>
      </c>
      <c r="AP40" s="25">
        <f t="shared" si="90"/>
        <v>22320</v>
      </c>
      <c r="AQ40" s="25">
        <f t="shared" si="91"/>
        <v>2735160</v>
      </c>
      <c r="AR40" s="9">
        <f>SUM(AR6:AR39)</f>
        <v>193870</v>
      </c>
      <c r="AS40" s="9">
        <f t="shared" ref="AS40:BC40" si="155">SUM(AS6:AS39)</f>
        <v>193870</v>
      </c>
      <c r="AT40" s="9">
        <f t="shared" si="155"/>
        <v>193870</v>
      </c>
      <c r="AU40" s="9">
        <f t="shared" si="155"/>
        <v>193870</v>
      </c>
      <c r="AV40" s="9">
        <f t="shared" si="155"/>
        <v>193870</v>
      </c>
      <c r="AW40" s="9">
        <f t="shared" si="155"/>
        <v>193870</v>
      </c>
      <c r="AX40" s="9">
        <f t="shared" si="155"/>
        <v>250780</v>
      </c>
      <c r="AY40" s="9">
        <f t="shared" si="155"/>
        <v>202000</v>
      </c>
      <c r="AZ40" s="9">
        <f t="shared" si="155"/>
        <v>202000</v>
      </c>
      <c r="BA40" s="9">
        <f t="shared" si="155"/>
        <v>202000</v>
      </c>
      <c r="BB40" s="9">
        <f t="shared" si="155"/>
        <v>202000</v>
      </c>
      <c r="BC40" s="9">
        <f t="shared" si="155"/>
        <v>202000</v>
      </c>
      <c r="BD40" s="25">
        <f t="shared" si="92"/>
        <v>2424000</v>
      </c>
      <c r="BE40" s="9">
        <f>SUM(BE6:BE39)</f>
        <v>4500</v>
      </c>
      <c r="BF40" s="9">
        <f t="shared" ref="BF40:BP40" si="156">SUM(BF6:BF39)</f>
        <v>4500</v>
      </c>
      <c r="BG40" s="9">
        <f t="shared" si="156"/>
        <v>4500</v>
      </c>
      <c r="BH40" s="9">
        <f t="shared" si="156"/>
        <v>4500</v>
      </c>
      <c r="BI40" s="9">
        <f t="shared" si="156"/>
        <v>4500</v>
      </c>
      <c r="BJ40" s="9">
        <f t="shared" si="156"/>
        <v>4500</v>
      </c>
      <c r="BK40" s="9">
        <f t="shared" si="156"/>
        <v>4500</v>
      </c>
      <c r="BL40" s="9">
        <f t="shared" si="156"/>
        <v>4500</v>
      </c>
      <c r="BM40" s="9">
        <f t="shared" si="156"/>
        <v>4500</v>
      </c>
      <c r="BN40" s="9">
        <f t="shared" si="156"/>
        <v>4500</v>
      </c>
      <c r="BO40" s="9">
        <f t="shared" si="156"/>
        <v>4500</v>
      </c>
      <c r="BP40" s="9">
        <f t="shared" si="156"/>
        <v>4500</v>
      </c>
      <c r="BQ40" s="25">
        <f t="shared" si="93"/>
        <v>54000</v>
      </c>
      <c r="BR40" s="9">
        <f>SUM(BR6:BR39)</f>
        <v>5817</v>
      </c>
      <c r="BS40" s="9">
        <f t="shared" ref="BS40:CC40" si="157">SUM(BS6:BS39)</f>
        <v>5817</v>
      </c>
      <c r="BT40" s="9">
        <f t="shared" si="157"/>
        <v>5817</v>
      </c>
      <c r="BU40" s="9">
        <f t="shared" si="157"/>
        <v>5817</v>
      </c>
      <c r="BV40" s="9">
        <f t="shared" si="157"/>
        <v>5817</v>
      </c>
      <c r="BW40" s="9">
        <f t="shared" si="157"/>
        <v>5817</v>
      </c>
      <c r="BX40" s="9">
        <f t="shared" si="157"/>
        <v>7524</v>
      </c>
      <c r="BY40" s="9">
        <f t="shared" si="157"/>
        <v>6060</v>
      </c>
      <c r="BZ40" s="9">
        <f t="shared" si="157"/>
        <v>6060</v>
      </c>
      <c r="CA40" s="9">
        <f t="shared" si="157"/>
        <v>6060</v>
      </c>
      <c r="CB40" s="9">
        <f t="shared" si="157"/>
        <v>6060</v>
      </c>
      <c r="CC40" s="9">
        <f t="shared" si="157"/>
        <v>6060</v>
      </c>
      <c r="CD40" s="25">
        <f t="shared" si="94"/>
        <v>72726</v>
      </c>
      <c r="CE40" s="25">
        <f t="shared" si="95"/>
        <v>2550726</v>
      </c>
      <c r="CF40" s="9">
        <f>SUM(CF6:CF39)</f>
        <v>60760</v>
      </c>
      <c r="CG40" s="9">
        <f t="shared" ref="CG40:CQ40" si="158">SUM(CG6:CG39)</f>
        <v>60760</v>
      </c>
      <c r="CH40" s="9">
        <f t="shared" si="158"/>
        <v>103635</v>
      </c>
      <c r="CI40" s="9">
        <f t="shared" si="158"/>
        <v>87010</v>
      </c>
      <c r="CJ40" s="9">
        <f t="shared" si="158"/>
        <v>87010</v>
      </c>
      <c r="CK40" s="9">
        <f t="shared" si="158"/>
        <v>87010</v>
      </c>
      <c r="CL40" s="9">
        <f t="shared" si="158"/>
        <v>106190</v>
      </c>
      <c r="CM40" s="9">
        <f t="shared" si="158"/>
        <v>89750</v>
      </c>
      <c r="CN40" s="9">
        <f t="shared" si="158"/>
        <v>60360</v>
      </c>
      <c r="CO40" s="9">
        <f t="shared" si="158"/>
        <v>60360</v>
      </c>
      <c r="CP40" s="9">
        <f t="shared" si="158"/>
        <v>60360</v>
      </c>
      <c r="CQ40" s="9">
        <f t="shared" si="158"/>
        <v>60360</v>
      </c>
      <c r="CR40" s="25">
        <f t="shared" si="96"/>
        <v>923565</v>
      </c>
      <c r="CS40" s="9">
        <f>SUM(CS6:CS39)</f>
        <v>1500</v>
      </c>
      <c r="CT40" s="9">
        <f t="shared" ref="CT40:DD40" si="159">SUM(CT6:CT39)</f>
        <v>1500</v>
      </c>
      <c r="CU40" s="9">
        <f t="shared" si="159"/>
        <v>3000</v>
      </c>
      <c r="CV40" s="9">
        <f t="shared" si="159"/>
        <v>2250</v>
      </c>
      <c r="CW40" s="9">
        <f t="shared" si="159"/>
        <v>2250</v>
      </c>
      <c r="CX40" s="9">
        <f t="shared" si="159"/>
        <v>2250</v>
      </c>
      <c r="CY40" s="9">
        <f t="shared" si="159"/>
        <v>2250</v>
      </c>
      <c r="CZ40" s="9">
        <f t="shared" si="159"/>
        <v>2250</v>
      </c>
      <c r="DA40" s="9">
        <f t="shared" si="159"/>
        <v>1500</v>
      </c>
      <c r="DB40" s="9">
        <f t="shared" si="159"/>
        <v>1500</v>
      </c>
      <c r="DC40" s="9">
        <f t="shared" si="159"/>
        <v>1500</v>
      </c>
      <c r="DD40" s="9">
        <f t="shared" si="159"/>
        <v>1500</v>
      </c>
      <c r="DE40" s="25">
        <f t="shared" si="97"/>
        <v>23250</v>
      </c>
      <c r="DF40" s="9">
        <f>SUM(DF6:DF39)</f>
        <v>979</v>
      </c>
      <c r="DG40" s="9">
        <f t="shared" ref="DG40:DQ40" si="160">SUM(DG6:DG39)</f>
        <v>979</v>
      </c>
      <c r="DH40" s="9">
        <f t="shared" si="160"/>
        <v>979</v>
      </c>
      <c r="DI40" s="9">
        <f t="shared" si="160"/>
        <v>979</v>
      </c>
      <c r="DJ40" s="9">
        <f t="shared" si="160"/>
        <v>979</v>
      </c>
      <c r="DK40" s="9">
        <f t="shared" si="160"/>
        <v>979</v>
      </c>
      <c r="DL40" s="9">
        <f t="shared" si="160"/>
        <v>1287</v>
      </c>
      <c r="DM40" s="9">
        <f t="shared" si="160"/>
        <v>1023</v>
      </c>
      <c r="DN40" s="9">
        <f t="shared" si="160"/>
        <v>1023</v>
      </c>
      <c r="DO40" s="9">
        <f t="shared" si="160"/>
        <v>1023</v>
      </c>
      <c r="DP40" s="9">
        <f t="shared" si="160"/>
        <v>1023</v>
      </c>
      <c r="DQ40" s="9">
        <f t="shared" si="160"/>
        <v>1023</v>
      </c>
      <c r="DR40" s="25">
        <f t="shared" si="98"/>
        <v>12276</v>
      </c>
      <c r="DS40" s="25">
        <f t="shared" si="99"/>
        <v>959091</v>
      </c>
      <c r="DT40" s="9">
        <f>SUM(DT6:DT39)</f>
        <v>122500</v>
      </c>
      <c r="DU40" s="9">
        <f t="shared" ref="DU40:EE40" si="161">SUM(DU6:DU39)</f>
        <v>122500</v>
      </c>
      <c r="DV40" s="9">
        <f t="shared" si="161"/>
        <v>165375</v>
      </c>
      <c r="DW40" s="9">
        <f t="shared" si="161"/>
        <v>148750</v>
      </c>
      <c r="DX40" s="9">
        <f t="shared" si="161"/>
        <v>148750</v>
      </c>
      <c r="DY40" s="9">
        <f t="shared" si="161"/>
        <v>148750</v>
      </c>
      <c r="DZ40" s="9">
        <f t="shared" si="161"/>
        <v>177800</v>
      </c>
      <c r="EA40" s="9">
        <f t="shared" si="161"/>
        <v>152900</v>
      </c>
      <c r="EB40" s="9">
        <f t="shared" si="161"/>
        <v>152900</v>
      </c>
      <c r="EC40" s="9">
        <f t="shared" si="161"/>
        <v>152900</v>
      </c>
      <c r="ED40" s="9">
        <f t="shared" si="161"/>
        <v>152900</v>
      </c>
      <c r="EE40" s="9">
        <f t="shared" si="161"/>
        <v>152900</v>
      </c>
      <c r="EF40" s="25">
        <f t="shared" si="100"/>
        <v>1798925</v>
      </c>
      <c r="EG40" s="9">
        <f>SUM(EG6:EG39)</f>
        <v>3000</v>
      </c>
      <c r="EH40" s="9">
        <f t="shared" ref="EH40:ER40" si="162">SUM(EH6:EH39)</f>
        <v>3000</v>
      </c>
      <c r="EI40" s="9">
        <f t="shared" si="162"/>
        <v>4500</v>
      </c>
      <c r="EJ40" s="9">
        <f t="shared" si="162"/>
        <v>3750</v>
      </c>
      <c r="EK40" s="9">
        <f t="shared" si="162"/>
        <v>3750</v>
      </c>
      <c r="EL40" s="9">
        <f t="shared" si="162"/>
        <v>3750</v>
      </c>
      <c r="EM40" s="9">
        <f t="shared" si="162"/>
        <v>3750</v>
      </c>
      <c r="EN40" s="9">
        <f t="shared" si="162"/>
        <v>3750</v>
      </c>
      <c r="EO40" s="9">
        <f t="shared" si="162"/>
        <v>3750</v>
      </c>
      <c r="EP40" s="9">
        <f t="shared" si="162"/>
        <v>3750</v>
      </c>
      <c r="EQ40" s="9">
        <f t="shared" si="162"/>
        <v>3750</v>
      </c>
      <c r="ER40" s="9">
        <f t="shared" si="162"/>
        <v>3750</v>
      </c>
      <c r="ES40" s="25">
        <f t="shared" si="101"/>
        <v>44250</v>
      </c>
      <c r="ET40" s="9">
        <f>SUM(ET6:ET39)</f>
        <v>2732</v>
      </c>
      <c r="EU40" s="9">
        <f t="shared" ref="EU40:FE40" si="163">SUM(EU6:EU39)</f>
        <v>2732</v>
      </c>
      <c r="EV40" s="9">
        <f t="shared" si="163"/>
        <v>2732</v>
      </c>
      <c r="EW40" s="9">
        <f t="shared" si="163"/>
        <v>2732</v>
      </c>
      <c r="EX40" s="9">
        <f t="shared" si="163"/>
        <v>2732</v>
      </c>
      <c r="EY40" s="9">
        <f t="shared" si="163"/>
        <v>2732</v>
      </c>
      <c r="EZ40" s="9">
        <f t="shared" si="163"/>
        <v>3600</v>
      </c>
      <c r="FA40" s="9">
        <f t="shared" si="163"/>
        <v>2856</v>
      </c>
      <c r="FB40" s="9">
        <f t="shared" si="163"/>
        <v>2856</v>
      </c>
      <c r="FC40" s="9">
        <f t="shared" si="163"/>
        <v>2856</v>
      </c>
      <c r="FD40" s="9">
        <f t="shared" si="163"/>
        <v>2856</v>
      </c>
      <c r="FE40" s="9">
        <f t="shared" si="163"/>
        <v>2856</v>
      </c>
      <c r="FF40" s="25">
        <f t="shared" si="102"/>
        <v>34272</v>
      </c>
      <c r="FG40" s="25">
        <f t="shared" si="103"/>
        <v>1877447</v>
      </c>
      <c r="FH40" s="9">
        <f>SUM(FH6:FH39)</f>
        <v>111830</v>
      </c>
      <c r="FI40" s="9">
        <f t="shared" ref="FI40:FS40" si="164">SUM(FI6:FI39)</f>
        <v>111830</v>
      </c>
      <c r="FJ40" s="9">
        <f t="shared" si="164"/>
        <v>111830</v>
      </c>
      <c r="FK40" s="9">
        <f t="shared" si="164"/>
        <v>111830</v>
      </c>
      <c r="FL40" s="9">
        <f t="shared" si="164"/>
        <v>111830</v>
      </c>
      <c r="FM40" s="9">
        <f t="shared" si="164"/>
        <v>111830</v>
      </c>
      <c r="FN40" s="9">
        <f t="shared" si="164"/>
        <v>150190</v>
      </c>
      <c r="FO40" s="9">
        <f t="shared" si="164"/>
        <v>117310</v>
      </c>
      <c r="FP40" s="9">
        <f t="shared" si="164"/>
        <v>117310</v>
      </c>
      <c r="FQ40" s="9">
        <f t="shared" si="164"/>
        <v>117310</v>
      </c>
      <c r="FR40" s="9">
        <f t="shared" si="164"/>
        <v>117310</v>
      </c>
      <c r="FS40" s="9">
        <f t="shared" si="164"/>
        <v>117310</v>
      </c>
      <c r="FT40" s="25">
        <f t="shared" si="104"/>
        <v>1407720</v>
      </c>
      <c r="FU40" s="9">
        <f>SUM(FU6:FU39)</f>
        <v>3000</v>
      </c>
      <c r="FV40" s="9">
        <f t="shared" ref="FV40:GF40" si="165">SUM(FV6:FV39)</f>
        <v>3000</v>
      </c>
      <c r="FW40" s="9">
        <f t="shared" si="165"/>
        <v>3000</v>
      </c>
      <c r="FX40" s="9">
        <f t="shared" si="165"/>
        <v>3000</v>
      </c>
      <c r="FY40" s="9">
        <f t="shared" si="165"/>
        <v>3000</v>
      </c>
      <c r="FZ40" s="9">
        <f t="shared" si="165"/>
        <v>3000</v>
      </c>
      <c r="GA40" s="9">
        <f t="shared" si="165"/>
        <v>3000</v>
      </c>
      <c r="GB40" s="9">
        <f t="shared" si="165"/>
        <v>3000</v>
      </c>
      <c r="GC40" s="9">
        <f t="shared" si="165"/>
        <v>3000</v>
      </c>
      <c r="GD40" s="9">
        <f t="shared" si="165"/>
        <v>3000</v>
      </c>
      <c r="GE40" s="9">
        <f t="shared" si="165"/>
        <v>3000</v>
      </c>
      <c r="GF40" s="9">
        <f t="shared" si="165"/>
        <v>3000</v>
      </c>
      <c r="GG40" s="25">
        <f t="shared" si="105"/>
        <v>36000</v>
      </c>
      <c r="GH40" s="9">
        <f>SUM(GH6:GH39)</f>
        <v>2638</v>
      </c>
      <c r="GI40" s="9">
        <f t="shared" ref="GI40:GS40" si="166">SUM(GI6:GI39)</f>
        <v>2638</v>
      </c>
      <c r="GJ40" s="9">
        <f t="shared" si="166"/>
        <v>2638</v>
      </c>
      <c r="GK40" s="9">
        <f t="shared" si="166"/>
        <v>2638</v>
      </c>
      <c r="GL40" s="9">
        <f t="shared" si="166"/>
        <v>2638</v>
      </c>
      <c r="GM40" s="9">
        <f t="shared" si="166"/>
        <v>2638</v>
      </c>
      <c r="GN40" s="9">
        <f t="shared" si="166"/>
        <v>3562</v>
      </c>
      <c r="GO40" s="9">
        <f t="shared" si="166"/>
        <v>2770</v>
      </c>
      <c r="GP40" s="9">
        <f t="shared" si="166"/>
        <v>2770</v>
      </c>
      <c r="GQ40" s="9">
        <f t="shared" si="166"/>
        <v>2770</v>
      </c>
      <c r="GR40" s="9">
        <f t="shared" si="166"/>
        <v>2770</v>
      </c>
      <c r="GS40" s="9">
        <f t="shared" si="166"/>
        <v>2770</v>
      </c>
      <c r="GT40" s="25">
        <f t="shared" si="106"/>
        <v>33240</v>
      </c>
      <c r="GU40" s="25">
        <f t="shared" si="107"/>
        <v>1476960</v>
      </c>
      <c r="GV40" s="9">
        <f>SUM(GV6:GV39)</f>
        <v>114540</v>
      </c>
      <c r="GW40" s="9">
        <f t="shared" ref="GW40:HG40" si="167">SUM(GW6:GW39)</f>
        <v>114540</v>
      </c>
      <c r="GX40" s="9">
        <f t="shared" si="167"/>
        <v>114540</v>
      </c>
      <c r="GY40" s="9">
        <f t="shared" si="167"/>
        <v>114540</v>
      </c>
      <c r="GZ40" s="9">
        <f t="shared" si="167"/>
        <v>114540</v>
      </c>
      <c r="HA40" s="9">
        <f t="shared" si="167"/>
        <v>114540</v>
      </c>
      <c r="HB40" s="9">
        <f t="shared" si="167"/>
        <v>149750</v>
      </c>
      <c r="HC40" s="9">
        <f t="shared" si="167"/>
        <v>119570</v>
      </c>
      <c r="HD40" s="9">
        <f t="shared" si="167"/>
        <v>119570</v>
      </c>
      <c r="HE40" s="9">
        <f t="shared" si="167"/>
        <v>119570</v>
      </c>
      <c r="HF40" s="9">
        <f t="shared" si="167"/>
        <v>119570</v>
      </c>
      <c r="HG40" s="9">
        <f t="shared" si="167"/>
        <v>119570</v>
      </c>
      <c r="HH40" s="25">
        <f t="shared" si="108"/>
        <v>1434840</v>
      </c>
      <c r="HI40" s="9">
        <f>SUM(HI6:HI39)</f>
        <v>3000</v>
      </c>
      <c r="HJ40" s="9">
        <f t="shared" ref="HJ40:HT40" si="168">SUM(HJ6:HJ39)</f>
        <v>3000</v>
      </c>
      <c r="HK40" s="9">
        <f t="shared" si="168"/>
        <v>3000</v>
      </c>
      <c r="HL40" s="9">
        <f t="shared" si="168"/>
        <v>3000</v>
      </c>
      <c r="HM40" s="9">
        <f t="shared" si="168"/>
        <v>3000</v>
      </c>
      <c r="HN40" s="9">
        <f t="shared" si="168"/>
        <v>3000</v>
      </c>
      <c r="HO40" s="9">
        <f t="shared" si="168"/>
        <v>3000</v>
      </c>
      <c r="HP40" s="9">
        <f t="shared" si="168"/>
        <v>3000</v>
      </c>
      <c r="HQ40" s="9">
        <f t="shared" si="168"/>
        <v>3000</v>
      </c>
      <c r="HR40" s="9">
        <f t="shared" si="168"/>
        <v>3000</v>
      </c>
      <c r="HS40" s="9">
        <f t="shared" si="168"/>
        <v>3000</v>
      </c>
      <c r="HT40" s="9">
        <f t="shared" si="168"/>
        <v>3000</v>
      </c>
      <c r="HU40" s="25">
        <f t="shared" si="109"/>
        <v>36000</v>
      </c>
      <c r="HV40" s="9">
        <f>SUM(HV6:HV39)</f>
        <v>2636</v>
      </c>
      <c r="HW40" s="9">
        <f t="shared" ref="HW40:IG40" si="169">SUM(HW6:HW39)</f>
        <v>2636</v>
      </c>
      <c r="HX40" s="9">
        <f t="shared" si="169"/>
        <v>2636</v>
      </c>
      <c r="HY40" s="9">
        <f t="shared" si="169"/>
        <v>2636</v>
      </c>
      <c r="HZ40" s="9">
        <f t="shared" si="169"/>
        <v>2636</v>
      </c>
      <c r="IA40" s="9">
        <f t="shared" si="169"/>
        <v>2636</v>
      </c>
      <c r="IB40" s="9">
        <f t="shared" si="169"/>
        <v>3470</v>
      </c>
      <c r="IC40" s="9">
        <f t="shared" si="169"/>
        <v>2756</v>
      </c>
      <c r="ID40" s="9">
        <f t="shared" si="169"/>
        <v>2756</v>
      </c>
      <c r="IE40" s="9">
        <f t="shared" si="169"/>
        <v>2756</v>
      </c>
      <c r="IF40" s="9">
        <f t="shared" si="169"/>
        <v>2756</v>
      </c>
      <c r="IG40" s="9">
        <f t="shared" si="169"/>
        <v>2756</v>
      </c>
      <c r="IH40" s="25">
        <f t="shared" si="110"/>
        <v>33066</v>
      </c>
      <c r="II40" s="25">
        <f t="shared" si="111"/>
        <v>1503906</v>
      </c>
      <c r="IJ40" s="9">
        <f>SUM(IJ6:IJ39)</f>
        <v>136040</v>
      </c>
      <c r="IK40" s="9">
        <f t="shared" ref="IK40:IU40" si="170">SUM(IK6:IK39)</f>
        <v>136040</v>
      </c>
      <c r="IL40" s="9">
        <f t="shared" si="170"/>
        <v>136040</v>
      </c>
      <c r="IM40" s="9">
        <f t="shared" si="170"/>
        <v>136040</v>
      </c>
      <c r="IN40" s="9">
        <f t="shared" si="170"/>
        <v>136040</v>
      </c>
      <c r="IO40" s="9">
        <f t="shared" si="170"/>
        <v>136040</v>
      </c>
      <c r="IP40" s="9">
        <f t="shared" si="170"/>
        <v>170550</v>
      </c>
      <c r="IQ40" s="9">
        <f t="shared" si="170"/>
        <v>140970</v>
      </c>
      <c r="IR40" s="9">
        <f t="shared" si="170"/>
        <v>140970</v>
      </c>
      <c r="IS40" s="9">
        <f t="shared" si="170"/>
        <v>140970</v>
      </c>
      <c r="IT40" s="9">
        <f t="shared" si="170"/>
        <v>140970</v>
      </c>
      <c r="IU40" s="9">
        <f t="shared" si="170"/>
        <v>140970</v>
      </c>
      <c r="IV40" s="25">
        <f t="shared" si="112"/>
        <v>1691640</v>
      </c>
      <c r="IW40" s="9">
        <f>SUM(IW6:IW39)</f>
        <v>3750</v>
      </c>
      <c r="IX40" s="9">
        <f t="shared" ref="IX40:JH40" si="171">SUM(IX6:IX39)</f>
        <v>3750</v>
      </c>
      <c r="IY40" s="9">
        <f t="shared" si="171"/>
        <v>3750</v>
      </c>
      <c r="IZ40" s="9">
        <f t="shared" si="171"/>
        <v>3750</v>
      </c>
      <c r="JA40" s="9">
        <f t="shared" si="171"/>
        <v>3750</v>
      </c>
      <c r="JB40" s="9">
        <f t="shared" si="171"/>
        <v>3750</v>
      </c>
      <c r="JC40" s="9">
        <f t="shared" si="171"/>
        <v>3750</v>
      </c>
      <c r="JD40" s="9">
        <f t="shared" si="171"/>
        <v>3750</v>
      </c>
      <c r="JE40" s="9">
        <f t="shared" si="171"/>
        <v>3750</v>
      </c>
      <c r="JF40" s="9">
        <f t="shared" si="171"/>
        <v>3750</v>
      </c>
      <c r="JG40" s="9">
        <f t="shared" si="171"/>
        <v>3750</v>
      </c>
      <c r="JH40" s="9">
        <f t="shared" si="171"/>
        <v>3750</v>
      </c>
      <c r="JI40" s="25">
        <f t="shared" si="113"/>
        <v>45000</v>
      </c>
      <c r="JJ40" s="9">
        <f>SUM(JJ6:JJ39)</f>
        <v>1688</v>
      </c>
      <c r="JK40" s="9">
        <f t="shared" ref="JK40:JU40" si="172">SUM(JK6:JK39)</f>
        <v>1688</v>
      </c>
      <c r="JL40" s="9">
        <f t="shared" si="172"/>
        <v>1688</v>
      </c>
      <c r="JM40" s="9">
        <f t="shared" si="172"/>
        <v>1688</v>
      </c>
      <c r="JN40" s="9">
        <f t="shared" si="172"/>
        <v>1688</v>
      </c>
      <c r="JO40" s="9">
        <f t="shared" si="172"/>
        <v>1688</v>
      </c>
      <c r="JP40" s="9">
        <f t="shared" si="172"/>
        <v>2192</v>
      </c>
      <c r="JQ40" s="9">
        <f t="shared" si="172"/>
        <v>1760</v>
      </c>
      <c r="JR40" s="9">
        <f t="shared" si="172"/>
        <v>1760</v>
      </c>
      <c r="JS40" s="9">
        <f t="shared" si="172"/>
        <v>1760</v>
      </c>
      <c r="JT40" s="9">
        <f t="shared" si="172"/>
        <v>1760</v>
      </c>
      <c r="JU40" s="9">
        <f t="shared" si="172"/>
        <v>1760</v>
      </c>
      <c r="JV40" s="25">
        <f t="shared" si="114"/>
        <v>21120</v>
      </c>
      <c r="JW40" s="25">
        <f t="shared" si="115"/>
        <v>1757760</v>
      </c>
      <c r="JX40" s="9">
        <f>SUM(JX6:JX39)</f>
        <v>150050</v>
      </c>
      <c r="JY40" s="9">
        <f t="shared" ref="JY40:KI40" si="173">SUM(JY6:JY39)</f>
        <v>196622.58000000002</v>
      </c>
      <c r="JZ40" s="9">
        <f t="shared" si="173"/>
        <v>176300</v>
      </c>
      <c r="KA40" s="9">
        <f t="shared" si="173"/>
        <v>176300</v>
      </c>
      <c r="KB40" s="9">
        <f t="shared" si="173"/>
        <v>176300</v>
      </c>
      <c r="KC40" s="9">
        <f t="shared" si="173"/>
        <v>176300</v>
      </c>
      <c r="KD40" s="9">
        <f t="shared" si="173"/>
        <v>205490</v>
      </c>
      <c r="KE40" s="9">
        <f t="shared" si="173"/>
        <v>180470</v>
      </c>
      <c r="KF40" s="9">
        <f t="shared" si="173"/>
        <v>180470</v>
      </c>
      <c r="KG40" s="9">
        <f t="shared" si="173"/>
        <v>155971.64000000001</v>
      </c>
      <c r="KH40" s="9">
        <f t="shared" si="173"/>
        <v>199186.13</v>
      </c>
      <c r="KI40" s="9">
        <f t="shared" si="173"/>
        <v>182270</v>
      </c>
      <c r="KJ40" s="25">
        <f t="shared" si="116"/>
        <v>2155730.35</v>
      </c>
      <c r="KK40" s="9">
        <f>SUM(KK6:KK39)</f>
        <v>3750</v>
      </c>
      <c r="KL40" s="9">
        <f t="shared" ref="KL40:KV40" si="174">SUM(KL6:KL39)</f>
        <v>5250</v>
      </c>
      <c r="KM40" s="9">
        <f t="shared" si="174"/>
        <v>4500</v>
      </c>
      <c r="KN40" s="9">
        <f t="shared" si="174"/>
        <v>4500</v>
      </c>
      <c r="KO40" s="9">
        <f t="shared" si="174"/>
        <v>4500</v>
      </c>
      <c r="KP40" s="9">
        <f t="shared" si="174"/>
        <v>4500</v>
      </c>
      <c r="KQ40" s="9">
        <f t="shared" si="174"/>
        <v>4500</v>
      </c>
      <c r="KR40" s="9">
        <f t="shared" si="174"/>
        <v>4500</v>
      </c>
      <c r="KS40" s="9">
        <f t="shared" si="174"/>
        <v>4500</v>
      </c>
      <c r="KT40" s="9">
        <f t="shared" si="174"/>
        <v>4066</v>
      </c>
      <c r="KU40" s="9">
        <f t="shared" si="174"/>
        <v>4500</v>
      </c>
      <c r="KV40" s="9">
        <f t="shared" si="174"/>
        <v>4500</v>
      </c>
      <c r="KW40" s="25">
        <f t="shared" si="117"/>
        <v>53566</v>
      </c>
      <c r="KX40" s="9">
        <f>SUM(KX6:KX39)</f>
        <v>887</v>
      </c>
      <c r="KY40" s="9">
        <f t="shared" ref="KY40:LI40" si="175">SUM(KY6:KY39)</f>
        <v>887</v>
      </c>
      <c r="KZ40" s="9">
        <f t="shared" si="175"/>
        <v>887</v>
      </c>
      <c r="LA40" s="9">
        <f t="shared" si="175"/>
        <v>887</v>
      </c>
      <c r="LB40" s="9">
        <f t="shared" si="175"/>
        <v>887</v>
      </c>
      <c r="LC40" s="9">
        <f t="shared" si="175"/>
        <v>887</v>
      </c>
      <c r="LD40" s="9">
        <f t="shared" si="175"/>
        <v>1195</v>
      </c>
      <c r="LE40" s="9">
        <f t="shared" si="175"/>
        <v>931</v>
      </c>
      <c r="LF40" s="9">
        <f t="shared" si="175"/>
        <v>931</v>
      </c>
      <c r="LG40" s="9">
        <f t="shared" si="175"/>
        <v>931</v>
      </c>
      <c r="LH40" s="9">
        <f t="shared" si="175"/>
        <v>1719</v>
      </c>
      <c r="LI40" s="9">
        <f t="shared" si="175"/>
        <v>1719</v>
      </c>
      <c r="LJ40" s="25">
        <f t="shared" si="118"/>
        <v>12748</v>
      </c>
      <c r="LK40" s="25">
        <f t="shared" si="119"/>
        <v>2222044.35</v>
      </c>
      <c r="LL40" s="9">
        <f>SUM(LL6:LL39)</f>
        <v>86330</v>
      </c>
      <c r="LM40" s="9">
        <f t="shared" ref="LM40:LW40" si="176">SUM(LM6:LM39)</f>
        <v>86330</v>
      </c>
      <c r="LN40" s="9">
        <f t="shared" si="176"/>
        <v>86330</v>
      </c>
      <c r="LO40" s="9">
        <f t="shared" si="176"/>
        <v>86330</v>
      </c>
      <c r="LP40" s="9">
        <f t="shared" si="176"/>
        <v>86330</v>
      </c>
      <c r="LQ40" s="9">
        <f t="shared" si="176"/>
        <v>86330</v>
      </c>
      <c r="LR40" s="9">
        <f t="shared" si="176"/>
        <v>116640</v>
      </c>
      <c r="LS40" s="9">
        <f t="shared" si="176"/>
        <v>90660</v>
      </c>
      <c r="LT40" s="9">
        <f t="shared" si="176"/>
        <v>90660</v>
      </c>
      <c r="LU40" s="9">
        <f t="shared" si="176"/>
        <v>90660</v>
      </c>
      <c r="LV40" s="9">
        <f t="shared" si="176"/>
        <v>90660</v>
      </c>
      <c r="LW40" s="9">
        <f t="shared" si="176"/>
        <v>90660</v>
      </c>
      <c r="LX40" s="25">
        <f t="shared" si="120"/>
        <v>1087920</v>
      </c>
      <c r="LY40" s="9">
        <f>SUM(LY6:LY39)</f>
        <v>2250</v>
      </c>
      <c r="LZ40" s="9">
        <f t="shared" ref="LZ40:MJ40" si="177">SUM(LZ6:LZ39)</f>
        <v>2250</v>
      </c>
      <c r="MA40" s="9">
        <f t="shared" si="177"/>
        <v>2250</v>
      </c>
      <c r="MB40" s="9">
        <f t="shared" si="177"/>
        <v>2250</v>
      </c>
      <c r="MC40" s="9">
        <f t="shared" si="177"/>
        <v>2250</v>
      </c>
      <c r="MD40" s="9">
        <f t="shared" si="177"/>
        <v>2250</v>
      </c>
      <c r="ME40" s="9">
        <f t="shared" si="177"/>
        <v>2250</v>
      </c>
      <c r="MF40" s="9">
        <f t="shared" si="177"/>
        <v>2250</v>
      </c>
      <c r="MG40" s="9">
        <f t="shared" si="177"/>
        <v>2250</v>
      </c>
      <c r="MH40" s="9">
        <f t="shared" si="177"/>
        <v>2250</v>
      </c>
      <c r="MI40" s="9">
        <f t="shared" si="177"/>
        <v>2250</v>
      </c>
      <c r="MJ40" s="9">
        <f t="shared" si="177"/>
        <v>2250</v>
      </c>
      <c r="MK40" s="25">
        <f t="shared" si="121"/>
        <v>27000</v>
      </c>
      <c r="ML40" s="9">
        <f>SUM(ML6:ML39)</f>
        <v>987</v>
      </c>
      <c r="MM40" s="9">
        <f t="shared" ref="MM40:MW40" si="178">SUM(MM6:MM39)</f>
        <v>987</v>
      </c>
      <c r="MN40" s="9">
        <f t="shared" si="178"/>
        <v>987</v>
      </c>
      <c r="MO40" s="9">
        <f t="shared" si="178"/>
        <v>987</v>
      </c>
      <c r="MP40" s="9">
        <f t="shared" si="178"/>
        <v>987</v>
      </c>
      <c r="MQ40" s="9">
        <f t="shared" si="178"/>
        <v>987</v>
      </c>
      <c r="MR40" s="9">
        <f t="shared" si="178"/>
        <v>1336</v>
      </c>
      <c r="MS40" s="9">
        <f t="shared" si="178"/>
        <v>1036</v>
      </c>
      <c r="MT40" s="9">
        <f t="shared" si="178"/>
        <v>1036</v>
      </c>
      <c r="MU40" s="9">
        <f t="shared" si="178"/>
        <v>1036</v>
      </c>
      <c r="MV40" s="9">
        <f t="shared" si="178"/>
        <v>1036</v>
      </c>
      <c r="MW40" s="9">
        <f t="shared" si="178"/>
        <v>1036</v>
      </c>
      <c r="MX40" s="25">
        <f t="shared" si="122"/>
        <v>12438</v>
      </c>
      <c r="MY40" s="25">
        <f t="shared" si="123"/>
        <v>1127358</v>
      </c>
      <c r="MZ40" s="9">
        <f>SUM(MZ6:MZ39)</f>
        <v>182760</v>
      </c>
      <c r="NA40" s="9">
        <f t="shared" ref="NA40" si="179">SUM(NA6:NA39)</f>
        <v>209010</v>
      </c>
      <c r="NB40" s="9">
        <f t="shared" ref="NB40" si="180">SUM(NB6:NB39)</f>
        <v>209010</v>
      </c>
      <c r="NC40" s="9">
        <f t="shared" ref="NC40" si="181">SUM(NC6:NC39)</f>
        <v>209010</v>
      </c>
      <c r="ND40" s="9">
        <f t="shared" ref="ND40" si="182">SUM(ND6:ND39)</f>
        <v>209010</v>
      </c>
      <c r="NE40" s="9">
        <f t="shared" ref="NE40" si="183">SUM(NE6:NE39)</f>
        <v>209010</v>
      </c>
      <c r="NF40" s="9">
        <f t="shared" ref="NF40" si="184">SUM(NF6:NF39)</f>
        <v>256330</v>
      </c>
      <c r="NG40" s="9">
        <f t="shared" ref="NG40" si="185">SUM(NG6:NG39)</f>
        <v>215770</v>
      </c>
      <c r="NH40" s="9">
        <f t="shared" ref="NH40" si="186">SUM(NH6:NH39)</f>
        <v>215770</v>
      </c>
      <c r="NI40" s="9">
        <f t="shared" ref="NI40" si="187">SUM(NI6:NI39)</f>
        <v>215770</v>
      </c>
      <c r="NJ40" s="9">
        <f t="shared" ref="NJ40" si="188">SUM(NJ6:NJ39)</f>
        <v>215770</v>
      </c>
      <c r="NK40" s="9">
        <f t="shared" ref="NK40" si="189">SUM(NK6:NK39)</f>
        <v>215770</v>
      </c>
      <c r="NL40" s="25">
        <f t="shared" si="124"/>
        <v>2562990</v>
      </c>
      <c r="NM40" s="9">
        <f>SUM(NM6:NM39)</f>
        <v>4500</v>
      </c>
      <c r="NN40" s="9">
        <f t="shared" ref="NN40" si="190">SUM(NN6:NN39)</f>
        <v>5250</v>
      </c>
      <c r="NO40" s="9">
        <f t="shared" ref="NO40" si="191">SUM(NO6:NO39)</f>
        <v>5250</v>
      </c>
      <c r="NP40" s="9">
        <f t="shared" ref="NP40" si="192">SUM(NP6:NP39)</f>
        <v>5250</v>
      </c>
      <c r="NQ40" s="9">
        <f t="shared" ref="NQ40" si="193">SUM(NQ6:NQ39)</f>
        <v>5250</v>
      </c>
      <c r="NR40" s="9">
        <f t="shared" ref="NR40" si="194">SUM(NR6:NR39)</f>
        <v>5250</v>
      </c>
      <c r="NS40" s="9">
        <f t="shared" ref="NS40" si="195">SUM(NS6:NS39)</f>
        <v>5250</v>
      </c>
      <c r="NT40" s="9">
        <f t="shared" ref="NT40" si="196">SUM(NT6:NT39)</f>
        <v>5250</v>
      </c>
      <c r="NU40" s="9">
        <f t="shared" ref="NU40" si="197">SUM(NU6:NU39)</f>
        <v>5250</v>
      </c>
      <c r="NV40" s="9">
        <f t="shared" ref="NV40" si="198">SUM(NV6:NV39)</f>
        <v>5250</v>
      </c>
      <c r="NW40" s="9">
        <f t="shared" ref="NW40" si="199">SUM(NW6:NW39)</f>
        <v>5250</v>
      </c>
      <c r="NX40" s="9">
        <f t="shared" ref="NX40" si="200">SUM(NX6:NX39)</f>
        <v>5250</v>
      </c>
      <c r="NY40" s="25">
        <f t="shared" si="125"/>
        <v>62250</v>
      </c>
      <c r="NZ40" s="9">
        <f>SUM(NZ6:NZ39)</f>
        <v>3699</v>
      </c>
      <c r="OA40" s="9">
        <f t="shared" ref="OA40" si="201">SUM(OA6:OA39)</f>
        <v>3699</v>
      </c>
      <c r="OB40" s="9">
        <f t="shared" ref="OB40" si="202">SUM(OB6:OB39)</f>
        <v>3699</v>
      </c>
      <c r="OC40" s="9">
        <f t="shared" ref="OC40" si="203">SUM(OC6:OC39)</f>
        <v>3699</v>
      </c>
      <c r="OD40" s="9">
        <f t="shared" ref="OD40" si="204">SUM(OD6:OD39)</f>
        <v>3699</v>
      </c>
      <c r="OE40" s="9">
        <f t="shared" ref="OE40" si="205">SUM(OE6:OE39)</f>
        <v>3699</v>
      </c>
      <c r="OF40" s="9">
        <f t="shared" ref="OF40" si="206">SUM(OF6:OF39)</f>
        <v>4588</v>
      </c>
      <c r="OG40" s="9">
        <f t="shared" ref="OG40" si="207">SUM(OG6:OG39)</f>
        <v>3826</v>
      </c>
      <c r="OH40" s="9">
        <f t="shared" ref="OH40" si="208">SUM(OH6:OH39)</f>
        <v>3826</v>
      </c>
      <c r="OI40" s="9">
        <f t="shared" ref="OI40" si="209">SUM(OI6:OI39)</f>
        <v>3826</v>
      </c>
      <c r="OJ40" s="9">
        <f t="shared" ref="OJ40" si="210">SUM(OJ6:OJ39)</f>
        <v>3826</v>
      </c>
      <c r="OK40" s="9">
        <f t="shared" ref="OK40" si="211">SUM(OK6:OK39)</f>
        <v>3826</v>
      </c>
      <c r="OL40" s="25">
        <f t="shared" si="126"/>
        <v>45912</v>
      </c>
      <c r="OM40" s="25">
        <f t="shared" si="127"/>
        <v>2671152</v>
      </c>
      <c r="ON40" s="9">
        <f>SUM(ON6:ON39)</f>
        <v>176770</v>
      </c>
      <c r="OO40" s="9">
        <f t="shared" ref="OO40" si="212">SUM(OO6:OO39)</f>
        <v>176770</v>
      </c>
      <c r="OP40" s="9">
        <f t="shared" ref="OP40" si="213">SUM(OP6:OP39)</f>
        <v>176770</v>
      </c>
      <c r="OQ40" s="9">
        <f t="shared" ref="OQ40" si="214">SUM(OQ6:OQ39)</f>
        <v>176770</v>
      </c>
      <c r="OR40" s="9">
        <f t="shared" ref="OR40" si="215">SUM(OR6:OR39)</f>
        <v>176770</v>
      </c>
      <c r="OS40" s="9">
        <f t="shared" ref="OS40" si="216">SUM(OS6:OS39)</f>
        <v>176770</v>
      </c>
      <c r="OT40" s="9">
        <f t="shared" ref="OT40" si="217">SUM(OT6:OT39)</f>
        <v>232770</v>
      </c>
      <c r="OU40" s="9">
        <f t="shared" ref="OU40" si="218">SUM(OU6:OU39)</f>
        <v>184770</v>
      </c>
      <c r="OV40" s="9">
        <f t="shared" ref="OV40" si="219">SUM(OV6:OV39)</f>
        <v>184770</v>
      </c>
      <c r="OW40" s="9">
        <f t="shared" ref="OW40" si="220">SUM(OW6:OW39)</f>
        <v>184770</v>
      </c>
      <c r="OX40" s="9">
        <f t="shared" ref="OX40" si="221">SUM(OX6:OX39)</f>
        <v>184770</v>
      </c>
      <c r="OY40" s="9">
        <f t="shared" ref="OY40" si="222">SUM(OY6:OY39)</f>
        <v>184770</v>
      </c>
      <c r="OZ40" s="25">
        <f t="shared" si="128"/>
        <v>2217240</v>
      </c>
      <c r="PA40" s="9">
        <f>SUM(PA6:PA39)</f>
        <v>4500</v>
      </c>
      <c r="PB40" s="9">
        <f t="shared" ref="PB40" si="223">SUM(PB6:PB39)</f>
        <v>4500</v>
      </c>
      <c r="PC40" s="9">
        <f t="shared" ref="PC40" si="224">SUM(PC6:PC39)</f>
        <v>4500</v>
      </c>
      <c r="PD40" s="9">
        <f t="shared" ref="PD40" si="225">SUM(PD6:PD39)</f>
        <v>4500</v>
      </c>
      <c r="PE40" s="9">
        <f t="shared" ref="PE40" si="226">SUM(PE6:PE39)</f>
        <v>4500</v>
      </c>
      <c r="PF40" s="9">
        <f t="shared" ref="PF40" si="227">SUM(PF6:PF39)</f>
        <v>4500</v>
      </c>
      <c r="PG40" s="9">
        <f t="shared" ref="PG40" si="228">SUM(PG6:PG39)</f>
        <v>4500</v>
      </c>
      <c r="PH40" s="9">
        <f t="shared" ref="PH40" si="229">SUM(PH6:PH39)</f>
        <v>4500</v>
      </c>
      <c r="PI40" s="9">
        <f t="shared" ref="PI40" si="230">SUM(PI6:PI39)</f>
        <v>4500</v>
      </c>
      <c r="PJ40" s="9">
        <f t="shared" ref="PJ40" si="231">SUM(PJ6:PJ39)</f>
        <v>4500</v>
      </c>
      <c r="PK40" s="9">
        <f t="shared" ref="PK40" si="232">SUM(PK6:PK39)</f>
        <v>4500</v>
      </c>
      <c r="PL40" s="9">
        <f t="shared" ref="PL40" si="233">SUM(PL6:PL39)</f>
        <v>4500</v>
      </c>
      <c r="PM40" s="25">
        <f t="shared" si="129"/>
        <v>54000</v>
      </c>
      <c r="PN40" s="9">
        <f>SUM(PN6:PN39)</f>
        <v>1987</v>
      </c>
      <c r="PO40" s="9">
        <f t="shared" ref="PO40" si="234">SUM(PO6:PO39)</f>
        <v>1987</v>
      </c>
      <c r="PP40" s="9">
        <f t="shared" ref="PP40" si="235">SUM(PP6:PP39)</f>
        <v>1987</v>
      </c>
      <c r="PQ40" s="9">
        <f t="shared" ref="PQ40" si="236">SUM(PQ6:PQ39)</f>
        <v>1987</v>
      </c>
      <c r="PR40" s="9">
        <f t="shared" ref="PR40" si="237">SUM(PR6:PR39)</f>
        <v>1987</v>
      </c>
      <c r="PS40" s="9">
        <f t="shared" ref="PS40" si="238">SUM(PS6:PS39)</f>
        <v>1987</v>
      </c>
      <c r="PT40" s="9">
        <f t="shared" ref="PT40" si="239">SUM(PT6:PT39)</f>
        <v>2652</v>
      </c>
      <c r="PU40" s="9">
        <f t="shared" ref="PU40" si="240">SUM(PU6:PU39)</f>
        <v>2082</v>
      </c>
      <c r="PV40" s="9">
        <f t="shared" ref="PV40" si="241">SUM(PV6:PV39)</f>
        <v>2082</v>
      </c>
      <c r="PW40" s="9">
        <f t="shared" ref="PW40" si="242">SUM(PW6:PW39)</f>
        <v>2082</v>
      </c>
      <c r="PX40" s="9">
        <f t="shared" ref="PX40" si="243">SUM(PX6:PX39)</f>
        <v>2082</v>
      </c>
      <c r="PY40" s="9">
        <f t="shared" ref="PY40" si="244">SUM(PY6:PY39)</f>
        <v>2082</v>
      </c>
      <c r="PZ40" s="25">
        <f t="shared" si="130"/>
        <v>24984</v>
      </c>
      <c r="QA40" s="25">
        <f t="shared" si="131"/>
        <v>2296224</v>
      </c>
      <c r="QB40" s="9">
        <f>SUM(QB6:QB39)</f>
        <v>89030</v>
      </c>
      <c r="QC40" s="9">
        <f t="shared" ref="QC40" si="245">SUM(QC6:QC39)</f>
        <v>109352.58</v>
      </c>
      <c r="QD40" s="9">
        <f t="shared" ref="QD40" si="246">SUM(QD6:QD39)</f>
        <v>89030</v>
      </c>
      <c r="QE40" s="9">
        <f t="shared" ref="QE40" si="247">SUM(QE6:QE39)</f>
        <v>89030</v>
      </c>
      <c r="QF40" s="9">
        <f t="shared" ref="QF40" si="248">SUM(QF6:QF39)</f>
        <v>89030</v>
      </c>
      <c r="QG40" s="9">
        <f t="shared" ref="QG40" si="249">SUM(QG6:QG39)</f>
        <v>89030</v>
      </c>
      <c r="QH40" s="9">
        <f t="shared" ref="QH40" si="250">SUM(QH6:QH39)</f>
        <v>120250</v>
      </c>
      <c r="QI40" s="9">
        <f t="shared" ref="QI40" si="251">SUM(QI6:QI39)</f>
        <v>93490</v>
      </c>
      <c r="QJ40" s="9">
        <f t="shared" ref="QJ40" si="252">SUM(QJ6:QJ39)</f>
        <v>93490</v>
      </c>
      <c r="QK40" s="9">
        <f t="shared" ref="QK40" si="253">SUM(QK6:QK39)</f>
        <v>93490</v>
      </c>
      <c r="QL40" s="9">
        <f t="shared" ref="QL40" si="254">SUM(QL6:QL39)</f>
        <v>93490</v>
      </c>
      <c r="QM40" s="9">
        <f t="shared" ref="QM40" si="255">SUM(QM6:QM39)</f>
        <v>93490</v>
      </c>
      <c r="QN40" s="25">
        <f t="shared" si="132"/>
        <v>1142202.58</v>
      </c>
      <c r="QO40" s="9">
        <f>SUM(QO6:QO39)</f>
        <v>2250</v>
      </c>
      <c r="QP40" s="9">
        <f t="shared" ref="QP40" si="256">SUM(QP6:QP39)</f>
        <v>3000</v>
      </c>
      <c r="QQ40" s="9">
        <f t="shared" ref="QQ40" si="257">SUM(QQ6:QQ39)</f>
        <v>2250</v>
      </c>
      <c r="QR40" s="9">
        <f t="shared" ref="QR40" si="258">SUM(QR6:QR39)</f>
        <v>2250</v>
      </c>
      <c r="QS40" s="9">
        <f t="shared" ref="QS40" si="259">SUM(QS6:QS39)</f>
        <v>2250</v>
      </c>
      <c r="QT40" s="9">
        <f t="shared" ref="QT40" si="260">SUM(QT6:QT39)</f>
        <v>2250</v>
      </c>
      <c r="QU40" s="9">
        <f t="shared" ref="QU40" si="261">SUM(QU6:QU39)</f>
        <v>2250</v>
      </c>
      <c r="QV40" s="9">
        <f t="shared" ref="QV40" si="262">SUM(QV6:QV39)</f>
        <v>2250</v>
      </c>
      <c r="QW40" s="9">
        <f t="shared" ref="QW40" si="263">SUM(QW6:QW39)</f>
        <v>2250</v>
      </c>
      <c r="QX40" s="9">
        <f t="shared" ref="QX40" si="264">SUM(QX6:QX39)</f>
        <v>2250</v>
      </c>
      <c r="QY40" s="9">
        <f t="shared" ref="QY40" si="265">SUM(QY6:QY39)</f>
        <v>2250</v>
      </c>
      <c r="QZ40" s="9">
        <f t="shared" ref="QZ40" si="266">SUM(QZ6:QZ39)</f>
        <v>2250</v>
      </c>
      <c r="RA40" s="25">
        <f t="shared" si="133"/>
        <v>27750</v>
      </c>
      <c r="RB40" s="9">
        <f>SUM(RB6:RB39)</f>
        <v>1840</v>
      </c>
      <c r="RC40" s="9">
        <f t="shared" ref="RC40" si="267">SUM(RC6:RC39)</f>
        <v>1840</v>
      </c>
      <c r="RD40" s="9">
        <f t="shared" ref="RD40" si="268">SUM(RD6:RD39)</f>
        <v>1840</v>
      </c>
      <c r="RE40" s="9">
        <f t="shared" ref="RE40" si="269">SUM(RE6:RE39)</f>
        <v>1840</v>
      </c>
      <c r="RF40" s="9">
        <f t="shared" ref="RF40" si="270">SUM(RF6:RF39)</f>
        <v>1840</v>
      </c>
      <c r="RG40" s="9">
        <f t="shared" ref="RG40" si="271">SUM(RG6:RG39)</f>
        <v>1840</v>
      </c>
      <c r="RH40" s="9">
        <f t="shared" ref="RH40" si="272">SUM(RH6:RH39)</f>
        <v>2484</v>
      </c>
      <c r="RI40" s="9">
        <f t="shared" ref="RI40" si="273">SUM(RI6:RI39)</f>
        <v>1932</v>
      </c>
      <c r="RJ40" s="9">
        <f t="shared" ref="RJ40" si="274">SUM(RJ6:RJ39)</f>
        <v>1932</v>
      </c>
      <c r="RK40" s="9">
        <f t="shared" ref="RK40" si="275">SUM(RK6:RK39)</f>
        <v>1932</v>
      </c>
      <c r="RL40" s="9">
        <f t="shared" ref="RL40" si="276">SUM(RL6:RL39)</f>
        <v>1932</v>
      </c>
      <c r="RM40" s="9">
        <f t="shared" ref="RM40" si="277">SUM(RM6:RM39)</f>
        <v>1932</v>
      </c>
      <c r="RN40" s="25">
        <f t="shared" si="134"/>
        <v>23184</v>
      </c>
      <c r="RO40" s="25">
        <f t="shared" si="135"/>
        <v>1193136.58</v>
      </c>
      <c r="RP40" s="9">
        <f>SUM(RP6:RP39)</f>
        <v>120870</v>
      </c>
      <c r="RQ40" s="9">
        <f t="shared" ref="RQ40" si="278">SUM(RQ6:RQ39)</f>
        <v>120870</v>
      </c>
      <c r="RR40" s="9">
        <f t="shared" ref="RR40" si="279">SUM(RR6:RR39)</f>
        <v>120870</v>
      </c>
      <c r="RS40" s="9">
        <f t="shared" ref="RS40" si="280">SUM(RS6:RS39)</f>
        <v>120870</v>
      </c>
      <c r="RT40" s="9">
        <f t="shared" ref="RT40" si="281">SUM(RT6:RT39)</f>
        <v>120870</v>
      </c>
      <c r="RU40" s="9">
        <f t="shared" ref="RU40" si="282">SUM(RU6:RU39)</f>
        <v>120870</v>
      </c>
      <c r="RV40" s="9">
        <f t="shared" ref="RV40" si="283">SUM(RV6:RV39)</f>
        <v>152160</v>
      </c>
      <c r="RW40" s="9">
        <f t="shared" ref="RW40" si="284">SUM(RW6:RW39)</f>
        <v>125340</v>
      </c>
      <c r="RX40" s="9">
        <f t="shared" ref="RX40" si="285">SUM(RX6:RX39)</f>
        <v>125340</v>
      </c>
      <c r="RY40" s="9">
        <f t="shared" ref="RY40" si="286">SUM(RY6:RY39)</f>
        <v>125340</v>
      </c>
      <c r="RZ40" s="9">
        <f t="shared" ref="RZ40" si="287">SUM(RZ6:RZ39)</f>
        <v>125340</v>
      </c>
      <c r="SA40" s="9">
        <f t="shared" ref="SA40" si="288">SUM(SA6:SA39)</f>
        <v>125340</v>
      </c>
      <c r="SB40" s="25">
        <f t="shared" si="136"/>
        <v>1504080</v>
      </c>
      <c r="SC40" s="9">
        <f>SUM(SC6:SC39)</f>
        <v>3000</v>
      </c>
      <c r="SD40" s="9">
        <f t="shared" ref="SD40" si="289">SUM(SD6:SD39)</f>
        <v>3000</v>
      </c>
      <c r="SE40" s="9">
        <f t="shared" ref="SE40" si="290">SUM(SE6:SE39)</f>
        <v>3000</v>
      </c>
      <c r="SF40" s="9">
        <f t="shared" ref="SF40" si="291">SUM(SF6:SF39)</f>
        <v>3000</v>
      </c>
      <c r="SG40" s="9">
        <f t="shared" ref="SG40" si="292">SUM(SG6:SG39)</f>
        <v>3000</v>
      </c>
      <c r="SH40" s="9">
        <f t="shared" ref="SH40" si="293">SUM(SH6:SH39)</f>
        <v>3000</v>
      </c>
      <c r="SI40" s="9">
        <f t="shared" ref="SI40" si="294">SUM(SI6:SI39)</f>
        <v>3000</v>
      </c>
      <c r="SJ40" s="9">
        <f t="shared" ref="SJ40" si="295">SUM(SJ6:SJ39)</f>
        <v>3000</v>
      </c>
      <c r="SK40" s="9">
        <f t="shared" ref="SK40" si="296">SUM(SK6:SK39)</f>
        <v>3000</v>
      </c>
      <c r="SL40" s="9">
        <f t="shared" ref="SL40" si="297">SUM(SL6:SL39)</f>
        <v>3000</v>
      </c>
      <c r="SM40" s="9">
        <f t="shared" ref="SM40" si="298">SUM(SM6:SM39)</f>
        <v>3000</v>
      </c>
      <c r="SN40" s="9">
        <f t="shared" ref="SN40" si="299">SUM(SN6:SN39)</f>
        <v>3000</v>
      </c>
      <c r="SO40" s="25">
        <f t="shared" si="137"/>
        <v>36000</v>
      </c>
      <c r="SP40" s="9">
        <f>SUM(SP6:SP39)</f>
        <v>3628</v>
      </c>
      <c r="SQ40" s="9">
        <f t="shared" ref="SQ40" si="300">SUM(SQ6:SQ39)</f>
        <v>3628</v>
      </c>
      <c r="SR40" s="9">
        <f t="shared" ref="SR40" si="301">SUM(SR6:SR39)</f>
        <v>3628</v>
      </c>
      <c r="SS40" s="9">
        <f t="shared" ref="SS40" si="302">SUM(SS6:SS39)</f>
        <v>3628</v>
      </c>
      <c r="ST40" s="9">
        <f t="shared" ref="ST40" si="303">SUM(ST6:ST39)</f>
        <v>3628</v>
      </c>
      <c r="SU40" s="9">
        <f t="shared" ref="SU40" si="304">SUM(SU6:SU39)</f>
        <v>3628</v>
      </c>
      <c r="SV40" s="9">
        <f t="shared" ref="SV40" si="305">SUM(SV6:SV39)</f>
        <v>4565</v>
      </c>
      <c r="SW40" s="9">
        <f t="shared" ref="SW40" si="306">SUM(SW6:SW39)</f>
        <v>3761</v>
      </c>
      <c r="SX40" s="9">
        <f t="shared" ref="SX40" si="307">SUM(SX6:SX39)</f>
        <v>3761</v>
      </c>
      <c r="SY40" s="9">
        <f t="shared" ref="SY40" si="308">SUM(SY6:SY39)</f>
        <v>3761</v>
      </c>
      <c r="SZ40" s="9">
        <f t="shared" ref="SZ40" si="309">SUM(SZ6:SZ39)</f>
        <v>3761</v>
      </c>
      <c r="TA40" s="9">
        <f t="shared" ref="TA40" si="310">SUM(TA6:TA39)</f>
        <v>3761</v>
      </c>
      <c r="TB40" s="25">
        <f t="shared" si="138"/>
        <v>45138</v>
      </c>
      <c r="TC40" s="25">
        <f t="shared" si="139"/>
        <v>1585218</v>
      </c>
      <c r="TD40" s="9">
        <f>SUM(TD6:TD39)</f>
        <v>289770</v>
      </c>
      <c r="TE40" s="9">
        <f t="shared" ref="TE40:TO40" si="311">SUM(TE6:TE39)</f>
        <v>289770</v>
      </c>
      <c r="TF40" s="9">
        <f t="shared" si="311"/>
        <v>289770</v>
      </c>
      <c r="TG40" s="9">
        <f t="shared" si="311"/>
        <v>289770</v>
      </c>
      <c r="TH40" s="9">
        <f t="shared" si="311"/>
        <v>289770</v>
      </c>
      <c r="TI40" s="9">
        <f t="shared" si="311"/>
        <v>289770</v>
      </c>
      <c r="TJ40" s="9">
        <f t="shared" si="311"/>
        <v>389870</v>
      </c>
      <c r="TK40" s="9">
        <f t="shared" si="311"/>
        <v>304070</v>
      </c>
      <c r="TL40" s="9">
        <f t="shared" si="311"/>
        <v>304070</v>
      </c>
      <c r="TM40" s="9">
        <f t="shared" si="311"/>
        <v>304070</v>
      </c>
      <c r="TN40" s="9">
        <f t="shared" si="311"/>
        <v>304070</v>
      </c>
      <c r="TO40" s="9">
        <f t="shared" si="311"/>
        <v>304070</v>
      </c>
      <c r="TP40" s="25">
        <f t="shared" si="140"/>
        <v>3648840</v>
      </c>
      <c r="TQ40" s="9">
        <f>SUM(TQ6:TQ39)</f>
        <v>9000</v>
      </c>
      <c r="TR40" s="9">
        <f t="shared" ref="TR40:UB40" si="312">SUM(TR6:TR39)</f>
        <v>9000</v>
      </c>
      <c r="TS40" s="9">
        <f t="shared" si="312"/>
        <v>10360.390000000001</v>
      </c>
      <c r="TT40" s="9">
        <f t="shared" si="312"/>
        <v>41800</v>
      </c>
      <c r="TU40" s="9">
        <f t="shared" si="312"/>
        <v>9000</v>
      </c>
      <c r="TV40" s="9">
        <f t="shared" si="312"/>
        <v>10057.5</v>
      </c>
      <c r="TW40" s="9">
        <f t="shared" si="312"/>
        <v>9000</v>
      </c>
      <c r="TX40" s="9">
        <f t="shared" si="312"/>
        <v>9000</v>
      </c>
      <c r="TY40" s="9">
        <f t="shared" si="312"/>
        <v>9000</v>
      </c>
      <c r="TZ40" s="9">
        <f t="shared" si="312"/>
        <v>9000</v>
      </c>
      <c r="UA40" s="9">
        <f t="shared" si="312"/>
        <v>9000</v>
      </c>
      <c r="UB40" s="9">
        <f t="shared" si="312"/>
        <v>9000</v>
      </c>
      <c r="UC40" s="25">
        <f t="shared" si="141"/>
        <v>143217.89000000001</v>
      </c>
      <c r="UD40" s="9">
        <f>SUM(UD6:UD39)</f>
        <v>2230</v>
      </c>
      <c r="UE40" s="9">
        <f t="shared" ref="UE40:UO40" si="313">SUM(UE6:UE39)</f>
        <v>2230</v>
      </c>
      <c r="UF40" s="9">
        <f t="shared" si="313"/>
        <v>2230</v>
      </c>
      <c r="UG40" s="9">
        <f t="shared" si="313"/>
        <v>2230</v>
      </c>
      <c r="UH40" s="9">
        <f t="shared" si="313"/>
        <v>2230</v>
      </c>
      <c r="UI40" s="9">
        <f t="shared" si="313"/>
        <v>2230</v>
      </c>
      <c r="UJ40" s="9">
        <f t="shared" si="313"/>
        <v>2978</v>
      </c>
      <c r="UK40" s="9">
        <f t="shared" si="313"/>
        <v>2330</v>
      </c>
      <c r="UL40" s="9">
        <f t="shared" si="313"/>
        <v>2339</v>
      </c>
      <c r="UM40" s="9">
        <f t="shared" si="313"/>
        <v>2339</v>
      </c>
      <c r="UN40" s="9">
        <f t="shared" si="313"/>
        <v>2339</v>
      </c>
      <c r="UO40" s="9">
        <f t="shared" si="313"/>
        <v>2339</v>
      </c>
      <c r="UP40" s="25">
        <f t="shared" si="142"/>
        <v>28044</v>
      </c>
      <c r="UQ40" s="25">
        <f t="shared" si="143"/>
        <v>3820101.89</v>
      </c>
      <c r="UR40" s="9">
        <f>SUM(UR6:UR39)</f>
        <v>5600</v>
      </c>
      <c r="US40" s="9">
        <f t="shared" ref="US40:VC40" si="314">SUM(US6:US39)</f>
        <v>5600</v>
      </c>
      <c r="UT40" s="9">
        <f t="shared" si="314"/>
        <v>5600</v>
      </c>
      <c r="UU40" s="9">
        <f t="shared" si="314"/>
        <v>5600</v>
      </c>
      <c r="UV40" s="9">
        <f t="shared" si="314"/>
        <v>5600</v>
      </c>
      <c r="UW40" s="9">
        <f t="shared" si="314"/>
        <v>5600</v>
      </c>
      <c r="UX40" s="9">
        <f t="shared" si="314"/>
        <v>5600</v>
      </c>
      <c r="UY40" s="9">
        <f t="shared" si="314"/>
        <v>5600</v>
      </c>
      <c r="UZ40" s="9">
        <f t="shared" si="314"/>
        <v>5600</v>
      </c>
      <c r="VA40" s="9">
        <f t="shared" si="314"/>
        <v>5600</v>
      </c>
      <c r="VB40" s="9">
        <f t="shared" si="314"/>
        <v>5600</v>
      </c>
      <c r="VC40" s="9">
        <f t="shared" si="314"/>
        <v>5600</v>
      </c>
      <c r="VD40" s="25">
        <f t="shared" si="144"/>
        <v>67200</v>
      </c>
      <c r="VE40" s="9">
        <f>SUM(VE6:VE39)</f>
        <v>5600</v>
      </c>
      <c r="VF40" s="9">
        <f t="shared" ref="VF40:VP40" si="315">SUM(VF6:VF39)</f>
        <v>5600</v>
      </c>
      <c r="VG40" s="9">
        <f t="shared" si="315"/>
        <v>5600</v>
      </c>
      <c r="VH40" s="9">
        <f t="shared" si="315"/>
        <v>5600</v>
      </c>
      <c r="VI40" s="9">
        <f t="shared" si="315"/>
        <v>5600</v>
      </c>
      <c r="VJ40" s="9">
        <f t="shared" si="315"/>
        <v>5600</v>
      </c>
      <c r="VK40" s="9">
        <f t="shared" si="315"/>
        <v>16800</v>
      </c>
      <c r="VL40" s="9">
        <f t="shared" si="315"/>
        <v>11200</v>
      </c>
      <c r="VM40" s="9">
        <f t="shared" si="315"/>
        <v>11200</v>
      </c>
      <c r="VN40" s="9">
        <f t="shared" si="315"/>
        <v>11200</v>
      </c>
      <c r="VO40" s="9">
        <f t="shared" si="315"/>
        <v>11200</v>
      </c>
      <c r="VP40" s="9">
        <f t="shared" si="315"/>
        <v>11200</v>
      </c>
      <c r="VQ40" s="25">
        <f t="shared" si="145"/>
        <v>106400</v>
      </c>
      <c r="VR40" s="9">
        <f>SUM(VR6:VR39)</f>
        <v>5600</v>
      </c>
      <c r="VS40" s="9">
        <f t="shared" ref="VS40:WC40" si="316">SUM(VS6:VS39)</f>
        <v>5600</v>
      </c>
      <c r="VT40" s="9">
        <f t="shared" si="316"/>
        <v>5600</v>
      </c>
      <c r="VU40" s="9">
        <f t="shared" si="316"/>
        <v>5600</v>
      </c>
      <c r="VV40" s="9">
        <f t="shared" si="316"/>
        <v>5600</v>
      </c>
      <c r="VW40" s="9">
        <f t="shared" si="316"/>
        <v>5600</v>
      </c>
      <c r="VX40" s="9">
        <f t="shared" si="316"/>
        <v>5600</v>
      </c>
      <c r="VY40" s="9">
        <f t="shared" si="316"/>
        <v>5600</v>
      </c>
      <c r="VZ40" s="9">
        <f t="shared" si="316"/>
        <v>5600</v>
      </c>
      <c r="WA40" s="9">
        <f t="shared" si="316"/>
        <v>5600</v>
      </c>
      <c r="WB40" s="9">
        <f t="shared" si="316"/>
        <v>5600</v>
      </c>
      <c r="WC40" s="9">
        <f t="shared" si="316"/>
        <v>5600</v>
      </c>
      <c r="WD40" s="25">
        <f t="shared" si="146"/>
        <v>67200</v>
      </c>
      <c r="WE40" s="9">
        <f>SUM(WE6:WE39)</f>
        <v>0</v>
      </c>
      <c r="WF40" s="9">
        <f t="shared" ref="WF40:WP40" si="317">SUM(WF6:WF39)</f>
        <v>0</v>
      </c>
      <c r="WG40" s="9">
        <f t="shared" si="317"/>
        <v>0</v>
      </c>
      <c r="WH40" s="9">
        <f t="shared" si="317"/>
        <v>0</v>
      </c>
      <c r="WI40" s="9">
        <f t="shared" si="317"/>
        <v>0</v>
      </c>
      <c r="WJ40" s="9">
        <f t="shared" si="317"/>
        <v>0</v>
      </c>
      <c r="WK40" s="9">
        <f t="shared" si="317"/>
        <v>0</v>
      </c>
      <c r="WL40" s="9">
        <f t="shared" si="317"/>
        <v>84200</v>
      </c>
      <c r="WM40" s="9">
        <f t="shared" si="317"/>
        <v>5600</v>
      </c>
      <c r="WN40" s="9">
        <f t="shared" si="317"/>
        <v>5600</v>
      </c>
      <c r="WO40" s="9">
        <f t="shared" si="317"/>
        <v>5600</v>
      </c>
      <c r="WP40" s="9">
        <f t="shared" si="317"/>
        <v>5600</v>
      </c>
      <c r="WQ40" s="25">
        <f t="shared" si="147"/>
        <v>106600</v>
      </c>
      <c r="WR40" s="9">
        <f>SUM(WR6:WR39)</f>
        <v>0</v>
      </c>
      <c r="WS40" s="9">
        <f t="shared" ref="WS40:XC40" si="318">SUM(WS6:WS39)</f>
        <v>0</v>
      </c>
      <c r="WT40" s="9">
        <f t="shared" si="318"/>
        <v>0</v>
      </c>
      <c r="WU40" s="9">
        <f t="shared" si="318"/>
        <v>0</v>
      </c>
      <c r="WV40" s="9">
        <f t="shared" si="318"/>
        <v>0</v>
      </c>
      <c r="WW40" s="9">
        <f t="shared" si="318"/>
        <v>0</v>
      </c>
      <c r="WX40" s="9">
        <f t="shared" si="318"/>
        <v>11200</v>
      </c>
      <c r="WY40" s="9">
        <f t="shared" si="318"/>
        <v>5600</v>
      </c>
      <c r="WZ40" s="9">
        <f t="shared" si="318"/>
        <v>5600</v>
      </c>
      <c r="XA40" s="9">
        <f t="shared" si="318"/>
        <v>5600</v>
      </c>
      <c r="XB40" s="9">
        <f t="shared" si="318"/>
        <v>5600</v>
      </c>
      <c r="XC40" s="9">
        <f t="shared" si="318"/>
        <v>5600</v>
      </c>
      <c r="XD40" s="25">
        <f t="shared" si="148"/>
        <v>39200</v>
      </c>
      <c r="XE40" s="9">
        <f>SUM(XE6:XE39)</f>
        <v>0</v>
      </c>
      <c r="XF40" s="9">
        <f t="shared" ref="XF40:XP40" si="319">SUM(XF6:XF39)</f>
        <v>0</v>
      </c>
      <c r="XG40" s="9">
        <f t="shared" si="319"/>
        <v>0</v>
      </c>
      <c r="XH40" s="9">
        <f t="shared" si="319"/>
        <v>0</v>
      </c>
      <c r="XI40" s="9">
        <f t="shared" si="319"/>
        <v>0</v>
      </c>
      <c r="XJ40" s="9">
        <f t="shared" si="319"/>
        <v>0</v>
      </c>
      <c r="XK40" s="9">
        <f t="shared" si="319"/>
        <v>0</v>
      </c>
      <c r="XL40" s="9">
        <f t="shared" si="319"/>
        <v>0</v>
      </c>
      <c r="XM40" s="9">
        <f t="shared" si="319"/>
        <v>0</v>
      </c>
      <c r="XN40" s="9">
        <f t="shared" si="319"/>
        <v>0</v>
      </c>
      <c r="XO40" s="9">
        <f t="shared" si="319"/>
        <v>11741.94</v>
      </c>
      <c r="XP40" s="9">
        <f t="shared" si="319"/>
        <v>0</v>
      </c>
      <c r="XQ40" s="25">
        <f t="shared" si="149"/>
        <v>11741.94</v>
      </c>
      <c r="XR40" s="25">
        <f>+VD40+VQ40+WD40+WQ40+XD40+XQ40</f>
        <v>398341.94</v>
      </c>
      <c r="XS40" s="26">
        <f t="shared" ref="XS40" si="320">+AQ40+CE40+DS40+FG40+GU40+II40+JW40+LK40+MY40+OM40+QA40+RO40+TC40+UQ40+XR40</f>
        <v>28174626.760000002</v>
      </c>
    </row>
    <row r="41" spans="1:643" ht="21.75" thickTop="1" x14ac:dyDescent="0.35"/>
    <row r="42" spans="1:643" hidden="1" x14ac:dyDescent="0.35">
      <c r="A42" s="1" t="s">
        <v>301</v>
      </c>
    </row>
    <row r="43" spans="1:643" hidden="1" x14ac:dyDescent="0.35">
      <c r="A43" s="71" t="s">
        <v>297</v>
      </c>
      <c r="J43" s="1">
        <v>56160</v>
      </c>
      <c r="AJ43" s="1">
        <v>450</v>
      </c>
      <c r="AX43" s="1">
        <v>48780</v>
      </c>
      <c r="BX43" s="1">
        <v>1464</v>
      </c>
      <c r="CH43" s="1">
        <v>16625</v>
      </c>
      <c r="CL43" s="1">
        <v>16440</v>
      </c>
      <c r="CU43" s="1">
        <v>750</v>
      </c>
      <c r="DL43" s="1">
        <v>264</v>
      </c>
      <c r="DV43" s="1">
        <v>16625</v>
      </c>
      <c r="DZ43" s="1">
        <v>24900</v>
      </c>
      <c r="EI43" s="1">
        <v>750</v>
      </c>
      <c r="EZ43" s="1">
        <v>744</v>
      </c>
      <c r="FN43" s="1">
        <v>32880</v>
      </c>
      <c r="GN43" s="1">
        <v>792</v>
      </c>
      <c r="HB43" s="1">
        <v>30180</v>
      </c>
      <c r="IB43" s="1">
        <v>714</v>
      </c>
      <c r="IP43" s="1">
        <v>29580</v>
      </c>
      <c r="JP43" s="1">
        <v>432</v>
      </c>
      <c r="JY43" s="1">
        <v>20322.580000000002</v>
      </c>
      <c r="KD43" s="1">
        <v>25020</v>
      </c>
      <c r="KH43" s="1">
        <f>7592.13+9324</f>
        <v>16916.13</v>
      </c>
      <c r="KL43" s="1">
        <v>750</v>
      </c>
      <c r="LD43" s="1">
        <v>264</v>
      </c>
      <c r="LR43" s="1">
        <v>25980</v>
      </c>
      <c r="MR43" s="1">
        <v>300</v>
      </c>
      <c r="NF43" s="1">
        <v>40560</v>
      </c>
      <c r="OF43" s="1">
        <v>762</v>
      </c>
      <c r="OT43" s="1">
        <v>48000</v>
      </c>
      <c r="PT43" s="1">
        <v>570</v>
      </c>
      <c r="QC43" s="1">
        <v>20322.580000000002</v>
      </c>
      <c r="QH43" s="1">
        <v>26760</v>
      </c>
      <c r="QP43" s="1">
        <v>750</v>
      </c>
      <c r="RH43" s="1">
        <v>552</v>
      </c>
      <c r="RV43" s="1">
        <v>26820</v>
      </c>
      <c r="SV43" s="1">
        <v>804</v>
      </c>
      <c r="TJ43" s="1">
        <v>85800</v>
      </c>
      <c r="UJ43" s="1">
        <v>648</v>
      </c>
      <c r="VK43" s="1">
        <v>5600</v>
      </c>
      <c r="WL43" s="1">
        <v>78600</v>
      </c>
      <c r="WX43" s="1">
        <v>5600</v>
      </c>
      <c r="XO43" s="1">
        <v>722.58</v>
      </c>
    </row>
    <row r="44" spans="1:643" hidden="1" x14ac:dyDescent="0.35">
      <c r="A44" s="1" t="s">
        <v>302</v>
      </c>
    </row>
    <row r="45" spans="1:643" hidden="1" x14ac:dyDescent="0.35">
      <c r="A45" s="1" t="s">
        <v>298</v>
      </c>
    </row>
    <row r="46" spans="1:643" hidden="1" x14ac:dyDescent="0.35">
      <c r="A46" s="1" t="s">
        <v>364</v>
      </c>
      <c r="TS46" s="1">
        <f>299.04+1601.36</f>
        <v>1900.3999999999999</v>
      </c>
      <c r="TT46" s="1">
        <f>13120+19680</f>
        <v>32800</v>
      </c>
      <c r="TV46" s="1">
        <v>1057.5</v>
      </c>
    </row>
    <row r="47" spans="1:643" hidden="1" x14ac:dyDescent="0.35">
      <c r="A47" s="53" t="s">
        <v>115</v>
      </c>
    </row>
    <row r="48" spans="1:643" hidden="1" x14ac:dyDescent="0.35"/>
    <row r="49" hidden="1" x14ac:dyDescent="0.35"/>
  </sheetData>
  <mergeCells count="87">
    <mergeCell ref="XE3:XQ3"/>
    <mergeCell ref="XE4:XQ4"/>
    <mergeCell ref="WR3:XD3"/>
    <mergeCell ref="WR4:XD4"/>
    <mergeCell ref="IJ3:JW3"/>
    <mergeCell ref="JX3:LK3"/>
    <mergeCell ref="LL3:MY3"/>
    <mergeCell ref="WE3:WQ3"/>
    <mergeCell ref="WE4:WQ4"/>
    <mergeCell ref="UR3:VD3"/>
    <mergeCell ref="UR4:VD4"/>
    <mergeCell ref="UD4:UP4"/>
    <mergeCell ref="MZ3:OM3"/>
    <mergeCell ref="MZ4:NL4"/>
    <mergeCell ref="NM4:NY4"/>
    <mergeCell ref="NZ4:OL4"/>
    <mergeCell ref="ON3:QA3"/>
    <mergeCell ref="ON4:OZ4"/>
    <mergeCell ref="QB3:RO3"/>
    <mergeCell ref="TD3:UQ3"/>
    <mergeCell ref="QB4:QN4"/>
    <mergeCell ref="QO4:RA4"/>
    <mergeCell ref="RB4:RN4"/>
    <mergeCell ref="TC4:TC5"/>
    <mergeCell ref="UQ4:UQ5"/>
    <mergeCell ref="GH4:GT4"/>
    <mergeCell ref="GV4:HH4"/>
    <mergeCell ref="HI4:HU4"/>
    <mergeCell ref="HV4:IH4"/>
    <mergeCell ref="SP4:TB4"/>
    <mergeCell ref="PA4:PM4"/>
    <mergeCell ref="PN4:PZ4"/>
    <mergeCell ref="II4:II5"/>
    <mergeCell ref="JW4:JW5"/>
    <mergeCell ref="LK4:LK5"/>
    <mergeCell ref="MY4:MY5"/>
    <mergeCell ref="OM4:OM5"/>
    <mergeCell ref="QA4:QA5"/>
    <mergeCell ref="RO4:RO5"/>
    <mergeCell ref="XS3:XS4"/>
    <mergeCell ref="IJ4:IV4"/>
    <mergeCell ref="IW4:JI4"/>
    <mergeCell ref="JJ4:JV4"/>
    <mergeCell ref="JX4:KJ4"/>
    <mergeCell ref="KK4:KW4"/>
    <mergeCell ref="KX4:LJ4"/>
    <mergeCell ref="LL4:LX4"/>
    <mergeCell ref="LY4:MK4"/>
    <mergeCell ref="ML4:MX4"/>
    <mergeCell ref="TD4:TP4"/>
    <mergeCell ref="TQ4:UC4"/>
    <mergeCell ref="RP3:TC3"/>
    <mergeCell ref="RP4:SB4"/>
    <mergeCell ref="SC4:SO4"/>
    <mergeCell ref="VE3:VQ3"/>
    <mergeCell ref="VR3:WD3"/>
    <mergeCell ref="VR4:WD4"/>
    <mergeCell ref="A1:F1"/>
    <mergeCell ref="A3:A4"/>
    <mergeCell ref="B3:B4"/>
    <mergeCell ref="D3:AQ3"/>
    <mergeCell ref="D4:P4"/>
    <mergeCell ref="Q4:AC4"/>
    <mergeCell ref="AD4:AP4"/>
    <mergeCell ref="AR3:CE3"/>
    <mergeCell ref="CF3:DS3"/>
    <mergeCell ref="DT3:FG3"/>
    <mergeCell ref="FH3:GU3"/>
    <mergeCell ref="GV3:II3"/>
    <mergeCell ref="AR4:BD4"/>
    <mergeCell ref="BE4:BQ4"/>
    <mergeCell ref="XR4:XR5"/>
    <mergeCell ref="AQ4:AQ5"/>
    <mergeCell ref="CE4:CE5"/>
    <mergeCell ref="DS4:DS5"/>
    <mergeCell ref="FG4:FG5"/>
    <mergeCell ref="GU4:GU5"/>
    <mergeCell ref="VE4:VQ4"/>
    <mergeCell ref="BR4:CD4"/>
    <mergeCell ref="CF4:CR4"/>
    <mergeCell ref="CS4:DE4"/>
    <mergeCell ref="DF4:DR4"/>
    <mergeCell ref="DT4:EF4"/>
    <mergeCell ref="EG4:ES4"/>
    <mergeCell ref="ET4:FF4"/>
    <mergeCell ref="FH4:FT4"/>
    <mergeCell ref="FU4:GG4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C48"/>
  <sheetViews>
    <sheetView showGridLines="0" zoomScale="80" zoomScaleNormal="80" workbookViewId="0">
      <pane xSplit="3" ySplit="6" topLeftCell="OL37" activePane="bottomRight" state="frozen"/>
      <selection pane="topRight" activeCell="D1" sqref="D1"/>
      <selection pane="bottomLeft" activeCell="A7" sqref="A7"/>
      <selection pane="bottomRight" activeCell="A42" sqref="A42:XFD48"/>
    </sheetView>
  </sheetViews>
  <sheetFormatPr defaultColWidth="9" defaultRowHeight="21" x14ac:dyDescent="0.35"/>
  <cols>
    <col min="1" max="2" width="7.375" style="1" bestFit="1" customWidth="1"/>
    <col min="3" max="3" width="5.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1.125" style="1" hidden="1" customWidth="1"/>
    <col min="29" max="29" width="11.25" style="1" bestFit="1" customWidth="1"/>
    <col min="30" max="41" width="11.125" style="1" hidden="1" customWidth="1"/>
    <col min="42" max="42" width="11.25" style="1" bestFit="1" customWidth="1"/>
    <col min="43" max="43" width="14.125" style="1" bestFit="1" customWidth="1"/>
    <col min="44" max="55" width="13.875" style="1" hidden="1" customWidth="1"/>
    <col min="56" max="56" width="14.125" style="1" bestFit="1" customWidth="1"/>
    <col min="57" max="68" width="11.125" style="1" hidden="1" customWidth="1"/>
    <col min="69" max="69" width="11.25" style="1" bestFit="1" customWidth="1"/>
    <col min="70" max="81" width="11.125" style="1" hidden="1" customWidth="1"/>
    <col min="82" max="82" width="11.25" style="1" bestFit="1" customWidth="1"/>
    <col min="83" max="83" width="14.125" style="1" bestFit="1" customWidth="1"/>
    <col min="84" max="95" width="13.875" style="1" hidden="1" customWidth="1"/>
    <col min="96" max="96" width="14.125" style="1" bestFit="1" customWidth="1"/>
    <col min="97" max="108" width="11.125" style="1" hidden="1" customWidth="1"/>
    <col min="109" max="109" width="11.25" style="1" bestFit="1" customWidth="1"/>
    <col min="110" max="121" width="11.125" style="1" hidden="1" customWidth="1"/>
    <col min="122" max="122" width="11.25" style="1" bestFit="1" customWidth="1"/>
    <col min="123" max="123" width="14.125" style="1" bestFit="1" customWidth="1"/>
    <col min="124" max="135" width="13.875" style="1" hidden="1" customWidth="1"/>
    <col min="136" max="136" width="14.125" style="1" bestFit="1" customWidth="1"/>
    <col min="137" max="148" width="11.125" style="1" hidden="1" customWidth="1"/>
    <col min="149" max="149" width="11.25" style="1" bestFit="1" customWidth="1"/>
    <col min="150" max="161" width="11.125" style="1" hidden="1" customWidth="1"/>
    <col min="162" max="162" width="11.25" style="1" bestFit="1" customWidth="1"/>
    <col min="163" max="163" width="14.125" style="1" bestFit="1" customWidth="1"/>
    <col min="164" max="175" width="13.875" style="1" hidden="1" customWidth="1"/>
    <col min="176" max="176" width="14.125" style="1" bestFit="1" customWidth="1"/>
    <col min="177" max="188" width="11.125" style="1" hidden="1" customWidth="1"/>
    <col min="189" max="189" width="11.25" style="1" bestFit="1" customWidth="1"/>
    <col min="190" max="201" width="11.125" style="1" hidden="1" customWidth="1"/>
    <col min="202" max="202" width="11.25" style="1" bestFit="1" customWidth="1"/>
    <col min="203" max="203" width="14.125" style="1" bestFit="1" customWidth="1"/>
    <col min="204" max="215" width="13.875" style="1" hidden="1" customWidth="1"/>
    <col min="216" max="216" width="14.125" style="1" bestFit="1" customWidth="1"/>
    <col min="217" max="228" width="11.125" style="1" hidden="1" customWidth="1"/>
    <col min="229" max="229" width="11.25" style="1" bestFit="1" customWidth="1"/>
    <col min="230" max="241" width="11.125" style="1" hidden="1" customWidth="1"/>
    <col min="242" max="242" width="11.25" style="1" bestFit="1" customWidth="1"/>
    <col min="243" max="243" width="14.125" style="1" bestFit="1" customWidth="1"/>
    <col min="244" max="255" width="13.875" style="1" hidden="1" customWidth="1"/>
    <col min="256" max="256" width="14.125" style="1" bestFit="1" customWidth="1"/>
    <col min="257" max="268" width="11.125" style="1" hidden="1" customWidth="1"/>
    <col min="269" max="269" width="11.25" style="1" bestFit="1" customWidth="1"/>
    <col min="270" max="281" width="11.125" style="1" hidden="1" customWidth="1"/>
    <col min="282" max="282" width="11.25" style="1" bestFit="1" customWidth="1"/>
    <col min="283" max="283" width="14.125" style="1" bestFit="1" customWidth="1"/>
    <col min="284" max="295" width="13.875" style="1" hidden="1" customWidth="1"/>
    <col min="296" max="296" width="14.125" style="1" bestFit="1" customWidth="1"/>
    <col min="297" max="308" width="11.125" style="1" hidden="1" customWidth="1"/>
    <col min="309" max="309" width="11.25" style="1" bestFit="1" customWidth="1"/>
    <col min="310" max="315" width="11.125" style="1" hidden="1" customWidth="1"/>
    <col min="316" max="316" width="12.375" style="1" hidden="1" customWidth="1"/>
    <col min="317" max="321" width="11.125" style="1" hidden="1" customWidth="1"/>
    <col min="322" max="322" width="11.25" style="1" bestFit="1" customWidth="1"/>
    <col min="323" max="323" width="14.125" style="1" bestFit="1" customWidth="1"/>
    <col min="324" max="335" width="13.875" style="1" hidden="1" customWidth="1"/>
    <col min="336" max="336" width="14.125" style="1" bestFit="1" customWidth="1"/>
    <col min="337" max="348" width="11.125" style="1" hidden="1" customWidth="1"/>
    <col min="349" max="349" width="11.25" style="1" bestFit="1" customWidth="1"/>
    <col min="350" max="361" width="11.125" style="1" hidden="1" customWidth="1"/>
    <col min="362" max="362" width="11.25" style="1" bestFit="1" customWidth="1"/>
    <col min="363" max="363" width="14.125" style="1" bestFit="1" customWidth="1"/>
    <col min="364" max="375" width="13.875" style="1" hidden="1" customWidth="1"/>
    <col min="376" max="376" width="14.125" style="1" bestFit="1" customWidth="1"/>
    <col min="377" max="388" width="11.125" style="1" hidden="1" customWidth="1"/>
    <col min="389" max="389" width="11.25" style="1" bestFit="1" customWidth="1"/>
    <col min="390" max="401" width="11.125" style="1" hidden="1" customWidth="1"/>
    <col min="402" max="402" width="11.25" style="1" bestFit="1" customWidth="1"/>
    <col min="403" max="403" width="14.125" style="1" bestFit="1" customWidth="1"/>
    <col min="404" max="415" width="12.375" style="1" hidden="1" customWidth="1"/>
    <col min="416" max="416" width="18.5" style="1" customWidth="1"/>
    <col min="417" max="428" width="12.375" style="1" hidden="1" customWidth="1"/>
    <col min="429" max="429" width="16.875" style="1" customWidth="1"/>
    <col min="430" max="441" width="11.125" style="1" hidden="1" customWidth="1"/>
    <col min="442" max="442" width="18.5" style="1" customWidth="1"/>
    <col min="443" max="454" width="11.125" style="1" hidden="1" customWidth="1"/>
    <col min="455" max="455" width="16" style="1" customWidth="1"/>
    <col min="456" max="467" width="11.125" style="1" hidden="1" customWidth="1"/>
    <col min="468" max="468" width="17.875" style="1" customWidth="1"/>
    <col min="469" max="469" width="12.375" style="1" customWidth="1"/>
    <col min="470" max="470" width="15.25" style="1" bestFit="1" customWidth="1"/>
    <col min="471" max="471" width="13.75" style="1" bestFit="1" customWidth="1"/>
    <col min="472" max="16384" width="9" style="1"/>
  </cols>
  <sheetData>
    <row r="1" spans="1:471" x14ac:dyDescent="0.35">
      <c r="A1" s="97" t="s">
        <v>45</v>
      </c>
      <c r="B1" s="98"/>
      <c r="C1" s="98"/>
      <c r="D1" s="98"/>
      <c r="E1" s="98"/>
      <c r="F1" s="98"/>
    </row>
    <row r="2" spans="1:471" s="12" customFormat="1" x14ac:dyDescent="0.35">
      <c r="A2" s="23"/>
      <c r="B2" s="23"/>
      <c r="C2" s="23"/>
      <c r="D2" s="23"/>
      <c r="E2" s="23"/>
      <c r="F2" s="23"/>
    </row>
    <row r="3" spans="1:471" s="2" customFormat="1" x14ac:dyDescent="0.35">
      <c r="A3" s="92" t="s">
        <v>0</v>
      </c>
      <c r="B3" s="92" t="s">
        <v>14</v>
      </c>
      <c r="C3" s="20"/>
      <c r="D3" s="89" t="s">
        <v>46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47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48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49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50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51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1"/>
      <c r="IJ3" s="89" t="s">
        <v>52</v>
      </c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1"/>
      <c r="JX3" s="89" t="s">
        <v>53</v>
      </c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1"/>
      <c r="LL3" s="89" t="s">
        <v>54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 t="s">
        <v>56</v>
      </c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1"/>
      <c r="ON3" s="89" t="s">
        <v>47</v>
      </c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1"/>
      <c r="PA3" s="89" t="s">
        <v>51</v>
      </c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1"/>
      <c r="PN3" s="89" t="s">
        <v>52</v>
      </c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1"/>
      <c r="QA3" s="89" t="s">
        <v>50</v>
      </c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1"/>
      <c r="QN3" s="89" t="s">
        <v>54</v>
      </c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1"/>
      <c r="RA3" s="29"/>
      <c r="RB3" s="92" t="s">
        <v>16</v>
      </c>
    </row>
    <row r="4" spans="1:471" s="2" customFormat="1" x14ac:dyDescent="0.35">
      <c r="A4" s="93"/>
      <c r="B4" s="93"/>
      <c r="C4" s="2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94" t="s">
        <v>5</v>
      </c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6"/>
      <c r="NM4" s="89" t="s">
        <v>6</v>
      </c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1"/>
      <c r="NZ4" s="89" t="s">
        <v>7</v>
      </c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1"/>
      <c r="OM4" s="87" t="s">
        <v>227</v>
      </c>
      <c r="ON4" s="89" t="s">
        <v>87</v>
      </c>
      <c r="OO4" s="90"/>
      <c r="OP4" s="90"/>
      <c r="OQ4" s="90"/>
      <c r="OR4" s="90"/>
      <c r="OS4" s="90"/>
      <c r="OT4" s="90"/>
      <c r="OU4" s="90"/>
      <c r="OV4" s="90"/>
      <c r="OW4" s="90"/>
      <c r="OX4" s="90"/>
      <c r="OY4" s="90"/>
      <c r="OZ4" s="91"/>
      <c r="PA4" s="89" t="s">
        <v>87</v>
      </c>
      <c r="PB4" s="90"/>
      <c r="PC4" s="90"/>
      <c r="PD4" s="90"/>
      <c r="PE4" s="90"/>
      <c r="PF4" s="90"/>
      <c r="PG4" s="90"/>
      <c r="PH4" s="90"/>
      <c r="PI4" s="90"/>
      <c r="PJ4" s="90"/>
      <c r="PK4" s="90"/>
      <c r="PL4" s="90"/>
      <c r="PM4" s="91"/>
      <c r="PN4" s="89" t="s">
        <v>87</v>
      </c>
      <c r="PO4" s="90"/>
      <c r="PP4" s="90"/>
      <c r="PQ4" s="90"/>
      <c r="PR4" s="90"/>
      <c r="PS4" s="90"/>
      <c r="PT4" s="90"/>
      <c r="PU4" s="90"/>
      <c r="PV4" s="90"/>
      <c r="PW4" s="90"/>
      <c r="PX4" s="90"/>
      <c r="PY4" s="90"/>
      <c r="PZ4" s="91"/>
      <c r="QA4" s="89" t="s">
        <v>87</v>
      </c>
      <c r="QB4" s="90"/>
      <c r="QC4" s="90"/>
      <c r="QD4" s="90"/>
      <c r="QE4" s="90"/>
      <c r="QF4" s="90"/>
      <c r="QG4" s="90"/>
      <c r="QH4" s="90"/>
      <c r="QI4" s="90"/>
      <c r="QJ4" s="90"/>
      <c r="QK4" s="90"/>
      <c r="QL4" s="90"/>
      <c r="QM4" s="91"/>
      <c r="QN4" s="89" t="s">
        <v>87</v>
      </c>
      <c r="QO4" s="90"/>
      <c r="QP4" s="90"/>
      <c r="QQ4" s="90"/>
      <c r="QR4" s="90"/>
      <c r="QS4" s="90"/>
      <c r="QT4" s="90"/>
      <c r="QU4" s="90"/>
      <c r="QV4" s="90"/>
      <c r="QW4" s="90"/>
      <c r="QX4" s="90"/>
      <c r="QY4" s="90"/>
      <c r="QZ4" s="91"/>
      <c r="RA4" s="87" t="s">
        <v>227</v>
      </c>
      <c r="RB4" s="93"/>
    </row>
    <row r="5" spans="1:471" s="2" customFormat="1" x14ac:dyDescent="0.35">
      <c r="A5" s="21"/>
      <c r="B5" s="21"/>
      <c r="C5" s="2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C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 t="shared" si="2"/>
        <v>ก.ย.</v>
      </c>
      <c r="BD5" s="17" t="s">
        <v>16</v>
      </c>
      <c r="BE5" s="16" t="str">
        <f>+AR5</f>
        <v>ต.ค.</v>
      </c>
      <c r="BF5" s="16" t="str">
        <f t="shared" ref="BF5:BP5" si="3">+AS5</f>
        <v>พ.ย.</v>
      </c>
      <c r="BG5" s="16" t="str">
        <f t="shared" si="3"/>
        <v>ธ.ค.</v>
      </c>
      <c r="BH5" s="16" t="str">
        <f t="shared" si="3"/>
        <v>ม.ค.</v>
      </c>
      <c r="BI5" s="16" t="str">
        <f t="shared" si="3"/>
        <v>ก.พ.</v>
      </c>
      <c r="BJ5" s="16" t="str">
        <f t="shared" si="3"/>
        <v>มี.ค.</v>
      </c>
      <c r="BK5" s="16" t="str">
        <f t="shared" si="3"/>
        <v>เม.ย.</v>
      </c>
      <c r="BL5" s="16" t="str">
        <f t="shared" si="3"/>
        <v>พ.ค.</v>
      </c>
      <c r="BM5" s="16" t="str">
        <f t="shared" si="3"/>
        <v>มิ.ย.</v>
      </c>
      <c r="BN5" s="16" t="str">
        <f t="shared" si="3"/>
        <v>ก.ค.</v>
      </c>
      <c r="BO5" s="16" t="str">
        <f t="shared" si="3"/>
        <v>ส.ค.</v>
      </c>
      <c r="BP5" s="16" t="str">
        <f t="shared" si="3"/>
        <v>ก.ย.</v>
      </c>
      <c r="BQ5" s="17" t="s">
        <v>16</v>
      </c>
      <c r="BR5" s="16" t="str">
        <f>+BE5</f>
        <v>ต.ค.</v>
      </c>
      <c r="BS5" s="16" t="str">
        <f t="shared" ref="BS5:CC5" si="4">+BF5</f>
        <v>พ.ย.</v>
      </c>
      <c r="BT5" s="16" t="str">
        <f t="shared" si="4"/>
        <v>ธ.ค.</v>
      </c>
      <c r="BU5" s="16" t="str">
        <f t="shared" si="4"/>
        <v>ม.ค.</v>
      </c>
      <c r="BV5" s="16" t="str">
        <f t="shared" si="4"/>
        <v>ก.พ.</v>
      </c>
      <c r="BW5" s="16" t="str">
        <f t="shared" si="4"/>
        <v>มี.ค.</v>
      </c>
      <c r="BX5" s="16" t="str">
        <f t="shared" si="4"/>
        <v>เม.ย.</v>
      </c>
      <c r="BY5" s="16" t="str">
        <f t="shared" si="4"/>
        <v>พ.ค.</v>
      </c>
      <c r="BZ5" s="16" t="str">
        <f t="shared" si="4"/>
        <v>มิ.ย.</v>
      </c>
      <c r="CA5" s="16" t="str">
        <f t="shared" si="4"/>
        <v>ก.ค.</v>
      </c>
      <c r="CB5" s="16" t="str">
        <f t="shared" si="4"/>
        <v>ส.ค.</v>
      </c>
      <c r="CC5" s="16" t="str">
        <f t="shared" si="4"/>
        <v>ก.ย.</v>
      </c>
      <c r="CD5" s="17" t="s">
        <v>16</v>
      </c>
      <c r="CE5" s="88"/>
      <c r="CF5" s="16" t="str">
        <f>+BR5</f>
        <v>ต.ค.</v>
      </c>
      <c r="CG5" s="16" t="str">
        <f t="shared" ref="CG5:CQ5" si="5">+BS5</f>
        <v>พ.ย.</v>
      </c>
      <c r="CH5" s="16" t="str">
        <f t="shared" si="5"/>
        <v>ธ.ค.</v>
      </c>
      <c r="CI5" s="16" t="str">
        <f t="shared" si="5"/>
        <v>ม.ค.</v>
      </c>
      <c r="CJ5" s="16" t="str">
        <f t="shared" si="5"/>
        <v>ก.พ.</v>
      </c>
      <c r="CK5" s="16" t="str">
        <f t="shared" si="5"/>
        <v>มี.ค.</v>
      </c>
      <c r="CL5" s="16" t="str">
        <f t="shared" si="5"/>
        <v>เม.ย.</v>
      </c>
      <c r="CM5" s="16" t="str">
        <f t="shared" si="5"/>
        <v>พ.ค.</v>
      </c>
      <c r="CN5" s="16" t="str">
        <f t="shared" si="5"/>
        <v>มิ.ย.</v>
      </c>
      <c r="CO5" s="16" t="str">
        <f t="shared" si="5"/>
        <v>ก.ค.</v>
      </c>
      <c r="CP5" s="16" t="str">
        <f t="shared" si="5"/>
        <v>ส.ค.</v>
      </c>
      <c r="CQ5" s="16" t="str">
        <f t="shared" si="5"/>
        <v>ก.ย.</v>
      </c>
      <c r="CR5" s="17" t="s">
        <v>16</v>
      </c>
      <c r="CS5" s="16" t="str">
        <f>+CF5</f>
        <v>ต.ค.</v>
      </c>
      <c r="CT5" s="16" t="str">
        <f t="shared" ref="CT5:DD5" si="6">+CG5</f>
        <v>พ.ย.</v>
      </c>
      <c r="CU5" s="16" t="str">
        <f t="shared" si="6"/>
        <v>ธ.ค.</v>
      </c>
      <c r="CV5" s="16" t="str">
        <f t="shared" si="6"/>
        <v>ม.ค.</v>
      </c>
      <c r="CW5" s="16" t="str">
        <f t="shared" si="6"/>
        <v>ก.พ.</v>
      </c>
      <c r="CX5" s="16" t="str">
        <f t="shared" si="6"/>
        <v>มี.ค.</v>
      </c>
      <c r="CY5" s="16" t="str">
        <f t="shared" si="6"/>
        <v>เม.ย.</v>
      </c>
      <c r="CZ5" s="16" t="str">
        <f t="shared" si="6"/>
        <v>พ.ค.</v>
      </c>
      <c r="DA5" s="16" t="str">
        <f t="shared" si="6"/>
        <v>มิ.ย.</v>
      </c>
      <c r="DB5" s="16" t="str">
        <f t="shared" si="6"/>
        <v>ก.ค.</v>
      </c>
      <c r="DC5" s="16" t="str">
        <f t="shared" si="6"/>
        <v>ส.ค.</v>
      </c>
      <c r="DD5" s="16" t="str">
        <f t="shared" si="6"/>
        <v>ก.ย.</v>
      </c>
      <c r="DE5" s="17" t="s">
        <v>16</v>
      </c>
      <c r="DF5" s="16" t="str">
        <f>+CS5</f>
        <v>ต.ค.</v>
      </c>
      <c r="DG5" s="16" t="str">
        <f t="shared" ref="DG5:DQ5" si="7">+CT5</f>
        <v>พ.ย.</v>
      </c>
      <c r="DH5" s="16" t="str">
        <f t="shared" si="7"/>
        <v>ธ.ค.</v>
      </c>
      <c r="DI5" s="16" t="str">
        <f t="shared" si="7"/>
        <v>ม.ค.</v>
      </c>
      <c r="DJ5" s="16" t="str">
        <f t="shared" si="7"/>
        <v>ก.พ.</v>
      </c>
      <c r="DK5" s="16" t="str">
        <f t="shared" si="7"/>
        <v>มี.ค.</v>
      </c>
      <c r="DL5" s="16" t="str">
        <f t="shared" si="7"/>
        <v>เม.ย.</v>
      </c>
      <c r="DM5" s="16" t="str">
        <f t="shared" si="7"/>
        <v>พ.ค.</v>
      </c>
      <c r="DN5" s="16" t="str">
        <f t="shared" si="7"/>
        <v>มิ.ย.</v>
      </c>
      <c r="DO5" s="16" t="str">
        <f t="shared" si="7"/>
        <v>ก.ค.</v>
      </c>
      <c r="DP5" s="16" t="str">
        <f t="shared" si="7"/>
        <v>ส.ค.</v>
      </c>
      <c r="DQ5" s="16" t="str">
        <f t="shared" si="7"/>
        <v>ก.ย.</v>
      </c>
      <c r="DR5" s="17" t="s">
        <v>16</v>
      </c>
      <c r="DS5" s="88"/>
      <c r="DT5" s="16" t="str">
        <f>+DF5</f>
        <v>ต.ค.</v>
      </c>
      <c r="DU5" s="16" t="str">
        <f t="shared" ref="DU5:EE5" si="8">+DG5</f>
        <v>พ.ย.</v>
      </c>
      <c r="DV5" s="16" t="str">
        <f t="shared" si="8"/>
        <v>ธ.ค.</v>
      </c>
      <c r="DW5" s="16" t="str">
        <f t="shared" si="8"/>
        <v>ม.ค.</v>
      </c>
      <c r="DX5" s="16" t="str">
        <f t="shared" si="8"/>
        <v>ก.พ.</v>
      </c>
      <c r="DY5" s="16" t="str">
        <f t="shared" si="8"/>
        <v>มี.ค.</v>
      </c>
      <c r="DZ5" s="16" t="str">
        <f t="shared" si="8"/>
        <v>เม.ย.</v>
      </c>
      <c r="EA5" s="16" t="str">
        <f t="shared" si="8"/>
        <v>พ.ค.</v>
      </c>
      <c r="EB5" s="16" t="str">
        <f t="shared" si="8"/>
        <v>มิ.ย.</v>
      </c>
      <c r="EC5" s="16" t="str">
        <f t="shared" si="8"/>
        <v>ก.ค.</v>
      </c>
      <c r="ED5" s="16" t="str">
        <f t="shared" si="8"/>
        <v>ส.ค.</v>
      </c>
      <c r="EE5" s="16" t="str">
        <f t="shared" si="8"/>
        <v>ก.ย.</v>
      </c>
      <c r="EF5" s="17" t="s">
        <v>16</v>
      </c>
      <c r="EG5" s="16" t="str">
        <f>+DT5</f>
        <v>ต.ค.</v>
      </c>
      <c r="EH5" s="16" t="str">
        <f t="shared" ref="EH5:ER5" si="9">+DU5</f>
        <v>พ.ย.</v>
      </c>
      <c r="EI5" s="16" t="str">
        <f t="shared" si="9"/>
        <v>ธ.ค.</v>
      </c>
      <c r="EJ5" s="16" t="str">
        <f t="shared" si="9"/>
        <v>ม.ค.</v>
      </c>
      <c r="EK5" s="16" t="str">
        <f t="shared" si="9"/>
        <v>ก.พ.</v>
      </c>
      <c r="EL5" s="16" t="str">
        <f t="shared" si="9"/>
        <v>มี.ค.</v>
      </c>
      <c r="EM5" s="16" t="str">
        <f t="shared" si="9"/>
        <v>เม.ย.</v>
      </c>
      <c r="EN5" s="16" t="str">
        <f t="shared" si="9"/>
        <v>พ.ค.</v>
      </c>
      <c r="EO5" s="16" t="str">
        <f t="shared" si="9"/>
        <v>มิ.ย.</v>
      </c>
      <c r="EP5" s="16" t="str">
        <f t="shared" si="9"/>
        <v>ก.ค.</v>
      </c>
      <c r="EQ5" s="16" t="str">
        <f t="shared" si="9"/>
        <v>ส.ค.</v>
      </c>
      <c r="ER5" s="16" t="str">
        <f t="shared" si="9"/>
        <v>ก.ย.</v>
      </c>
      <c r="ES5" s="17" t="s">
        <v>16</v>
      </c>
      <c r="ET5" s="16" t="str">
        <f>+EG5</f>
        <v>ต.ค.</v>
      </c>
      <c r="EU5" s="16" t="str">
        <f t="shared" ref="EU5:FE5" si="10">+EH5</f>
        <v>พ.ย.</v>
      </c>
      <c r="EV5" s="16" t="str">
        <f t="shared" si="10"/>
        <v>ธ.ค.</v>
      </c>
      <c r="EW5" s="16" t="str">
        <f t="shared" si="10"/>
        <v>ม.ค.</v>
      </c>
      <c r="EX5" s="16" t="str">
        <f t="shared" si="10"/>
        <v>ก.พ.</v>
      </c>
      <c r="EY5" s="16" t="str">
        <f t="shared" si="10"/>
        <v>มี.ค.</v>
      </c>
      <c r="EZ5" s="16" t="str">
        <f t="shared" si="10"/>
        <v>เม.ย.</v>
      </c>
      <c r="FA5" s="16" t="str">
        <f t="shared" si="10"/>
        <v>พ.ค.</v>
      </c>
      <c r="FB5" s="16" t="str">
        <f t="shared" si="10"/>
        <v>มิ.ย.</v>
      </c>
      <c r="FC5" s="16" t="str">
        <f t="shared" si="10"/>
        <v>ก.ค.</v>
      </c>
      <c r="FD5" s="16" t="str">
        <f t="shared" si="10"/>
        <v>ส.ค.</v>
      </c>
      <c r="FE5" s="16" t="str">
        <f t="shared" si="10"/>
        <v>ก.ย.</v>
      </c>
      <c r="FF5" s="17" t="s">
        <v>16</v>
      </c>
      <c r="FG5" s="88"/>
      <c r="FH5" s="16" t="str">
        <f>+ET5</f>
        <v>ต.ค.</v>
      </c>
      <c r="FI5" s="16" t="str">
        <f t="shared" ref="FI5:FS5" si="11">+EU5</f>
        <v>พ.ย.</v>
      </c>
      <c r="FJ5" s="16" t="str">
        <f t="shared" si="11"/>
        <v>ธ.ค.</v>
      </c>
      <c r="FK5" s="16" t="str">
        <f t="shared" si="11"/>
        <v>ม.ค.</v>
      </c>
      <c r="FL5" s="16" t="str">
        <f t="shared" si="11"/>
        <v>ก.พ.</v>
      </c>
      <c r="FM5" s="16" t="str">
        <f t="shared" si="11"/>
        <v>มี.ค.</v>
      </c>
      <c r="FN5" s="16" t="str">
        <f t="shared" si="11"/>
        <v>เม.ย.</v>
      </c>
      <c r="FO5" s="16" t="str">
        <f t="shared" si="11"/>
        <v>พ.ค.</v>
      </c>
      <c r="FP5" s="16" t="str">
        <f t="shared" si="11"/>
        <v>มิ.ย.</v>
      </c>
      <c r="FQ5" s="16" t="str">
        <f t="shared" si="11"/>
        <v>ก.ค.</v>
      </c>
      <c r="FR5" s="16" t="str">
        <f t="shared" si="11"/>
        <v>ส.ค.</v>
      </c>
      <c r="FS5" s="16" t="str">
        <f t="shared" si="11"/>
        <v>ก.ย.</v>
      </c>
      <c r="FT5" s="17" t="s">
        <v>16</v>
      </c>
      <c r="FU5" s="16" t="str">
        <f>+FH5</f>
        <v>ต.ค.</v>
      </c>
      <c r="FV5" s="16" t="str">
        <f t="shared" ref="FV5:GF5" si="12">+FI5</f>
        <v>พ.ย.</v>
      </c>
      <c r="FW5" s="16" t="str">
        <f t="shared" si="12"/>
        <v>ธ.ค.</v>
      </c>
      <c r="FX5" s="16" t="str">
        <f t="shared" si="12"/>
        <v>ม.ค.</v>
      </c>
      <c r="FY5" s="16" t="str">
        <f t="shared" si="12"/>
        <v>ก.พ.</v>
      </c>
      <c r="FZ5" s="16" t="str">
        <f t="shared" si="12"/>
        <v>มี.ค.</v>
      </c>
      <c r="GA5" s="16" t="str">
        <f t="shared" si="12"/>
        <v>เม.ย.</v>
      </c>
      <c r="GB5" s="16" t="str">
        <f t="shared" si="12"/>
        <v>พ.ค.</v>
      </c>
      <c r="GC5" s="16" t="str">
        <f t="shared" si="12"/>
        <v>มิ.ย.</v>
      </c>
      <c r="GD5" s="16" t="str">
        <f t="shared" si="12"/>
        <v>ก.ค.</v>
      </c>
      <c r="GE5" s="16" t="str">
        <f t="shared" si="12"/>
        <v>ส.ค.</v>
      </c>
      <c r="GF5" s="16" t="str">
        <f t="shared" si="12"/>
        <v>ก.ย.</v>
      </c>
      <c r="GG5" s="17" t="s">
        <v>16</v>
      </c>
      <c r="GH5" s="16" t="str">
        <f>+FU5</f>
        <v>ต.ค.</v>
      </c>
      <c r="GI5" s="16" t="str">
        <f t="shared" ref="GI5:GS5" si="13">+FV5</f>
        <v>พ.ย.</v>
      </c>
      <c r="GJ5" s="16" t="str">
        <f t="shared" si="13"/>
        <v>ธ.ค.</v>
      </c>
      <c r="GK5" s="16" t="str">
        <f t="shared" si="13"/>
        <v>ม.ค.</v>
      </c>
      <c r="GL5" s="16" t="str">
        <f t="shared" si="13"/>
        <v>ก.พ.</v>
      </c>
      <c r="GM5" s="16" t="str">
        <f t="shared" si="13"/>
        <v>มี.ค.</v>
      </c>
      <c r="GN5" s="16" t="str">
        <f t="shared" si="13"/>
        <v>เม.ย.</v>
      </c>
      <c r="GO5" s="16" t="str">
        <f t="shared" si="13"/>
        <v>พ.ค.</v>
      </c>
      <c r="GP5" s="16" t="str">
        <f t="shared" si="13"/>
        <v>มิ.ย.</v>
      </c>
      <c r="GQ5" s="16" t="str">
        <f t="shared" si="13"/>
        <v>ก.ค.</v>
      </c>
      <c r="GR5" s="16" t="str">
        <f t="shared" si="13"/>
        <v>ส.ค.</v>
      </c>
      <c r="GS5" s="16" t="str">
        <f t="shared" si="13"/>
        <v>ก.ย.</v>
      </c>
      <c r="GT5" s="17" t="s">
        <v>16</v>
      </c>
      <c r="GU5" s="88"/>
      <c r="GV5" s="16" t="str">
        <f>+GH5</f>
        <v>ต.ค.</v>
      </c>
      <c r="GW5" s="16" t="str">
        <f t="shared" ref="GW5:HG5" si="14">+GI5</f>
        <v>พ.ย.</v>
      </c>
      <c r="GX5" s="16" t="str">
        <f t="shared" si="14"/>
        <v>ธ.ค.</v>
      </c>
      <c r="GY5" s="16" t="str">
        <f t="shared" si="14"/>
        <v>ม.ค.</v>
      </c>
      <c r="GZ5" s="16" t="str">
        <f t="shared" si="14"/>
        <v>ก.พ.</v>
      </c>
      <c r="HA5" s="16" t="str">
        <f t="shared" si="14"/>
        <v>มี.ค.</v>
      </c>
      <c r="HB5" s="16" t="str">
        <f t="shared" si="14"/>
        <v>เม.ย.</v>
      </c>
      <c r="HC5" s="16" t="str">
        <f t="shared" si="14"/>
        <v>พ.ค.</v>
      </c>
      <c r="HD5" s="16" t="str">
        <f t="shared" si="14"/>
        <v>มิ.ย.</v>
      </c>
      <c r="HE5" s="16" t="str">
        <f t="shared" si="14"/>
        <v>ก.ค.</v>
      </c>
      <c r="HF5" s="16" t="str">
        <f t="shared" si="14"/>
        <v>ส.ค.</v>
      </c>
      <c r="HG5" s="16" t="str">
        <f t="shared" si="14"/>
        <v>ก.ย.</v>
      </c>
      <c r="HH5" s="17" t="s">
        <v>16</v>
      </c>
      <c r="HI5" s="16" t="str">
        <f>+GV5</f>
        <v>ต.ค.</v>
      </c>
      <c r="HJ5" s="16" t="str">
        <f t="shared" ref="HJ5:HT5" si="15">+GW5</f>
        <v>พ.ย.</v>
      </c>
      <c r="HK5" s="16" t="str">
        <f t="shared" si="15"/>
        <v>ธ.ค.</v>
      </c>
      <c r="HL5" s="16" t="str">
        <f t="shared" si="15"/>
        <v>ม.ค.</v>
      </c>
      <c r="HM5" s="16" t="str">
        <f t="shared" si="15"/>
        <v>ก.พ.</v>
      </c>
      <c r="HN5" s="16" t="str">
        <f t="shared" si="15"/>
        <v>มี.ค.</v>
      </c>
      <c r="HO5" s="16" t="str">
        <f t="shared" si="15"/>
        <v>เม.ย.</v>
      </c>
      <c r="HP5" s="16" t="str">
        <f t="shared" si="15"/>
        <v>พ.ค.</v>
      </c>
      <c r="HQ5" s="16" t="str">
        <f t="shared" si="15"/>
        <v>มิ.ย.</v>
      </c>
      <c r="HR5" s="16" t="str">
        <f t="shared" si="15"/>
        <v>ก.ค.</v>
      </c>
      <c r="HS5" s="16" t="str">
        <f t="shared" si="15"/>
        <v>ส.ค.</v>
      </c>
      <c r="HT5" s="16" t="str">
        <f t="shared" si="15"/>
        <v>ก.ย.</v>
      </c>
      <c r="HU5" s="17" t="s">
        <v>16</v>
      </c>
      <c r="HV5" s="16" t="str">
        <f>+HI5</f>
        <v>ต.ค.</v>
      </c>
      <c r="HW5" s="16" t="str">
        <f t="shared" ref="HW5:IG5" si="16">+HJ5</f>
        <v>พ.ย.</v>
      </c>
      <c r="HX5" s="16" t="str">
        <f t="shared" si="16"/>
        <v>ธ.ค.</v>
      </c>
      <c r="HY5" s="16" t="str">
        <f t="shared" si="16"/>
        <v>ม.ค.</v>
      </c>
      <c r="HZ5" s="16" t="str">
        <f t="shared" si="16"/>
        <v>ก.พ.</v>
      </c>
      <c r="IA5" s="16" t="str">
        <f t="shared" si="16"/>
        <v>มี.ค.</v>
      </c>
      <c r="IB5" s="16" t="str">
        <f t="shared" si="16"/>
        <v>เม.ย.</v>
      </c>
      <c r="IC5" s="16" t="str">
        <f t="shared" si="16"/>
        <v>พ.ค.</v>
      </c>
      <c r="ID5" s="16" t="str">
        <f t="shared" si="16"/>
        <v>มิ.ย.</v>
      </c>
      <c r="IE5" s="16" t="str">
        <f t="shared" si="16"/>
        <v>ก.ค.</v>
      </c>
      <c r="IF5" s="16" t="str">
        <f t="shared" si="16"/>
        <v>ส.ค.</v>
      </c>
      <c r="IG5" s="16" t="str">
        <f t="shared" si="16"/>
        <v>ก.ย.</v>
      </c>
      <c r="IH5" s="17" t="s">
        <v>16</v>
      </c>
      <c r="II5" s="88"/>
      <c r="IJ5" s="16" t="str">
        <f>+HV5</f>
        <v>ต.ค.</v>
      </c>
      <c r="IK5" s="16" t="str">
        <f t="shared" ref="IK5:IU5" si="17">+HW5</f>
        <v>พ.ย.</v>
      </c>
      <c r="IL5" s="16" t="str">
        <f t="shared" si="17"/>
        <v>ธ.ค.</v>
      </c>
      <c r="IM5" s="16" t="str">
        <f t="shared" si="17"/>
        <v>ม.ค.</v>
      </c>
      <c r="IN5" s="16" t="str">
        <f t="shared" si="17"/>
        <v>ก.พ.</v>
      </c>
      <c r="IO5" s="16" t="str">
        <f t="shared" si="17"/>
        <v>มี.ค.</v>
      </c>
      <c r="IP5" s="16" t="str">
        <f t="shared" si="17"/>
        <v>เม.ย.</v>
      </c>
      <c r="IQ5" s="16" t="str">
        <f t="shared" si="17"/>
        <v>พ.ค.</v>
      </c>
      <c r="IR5" s="16" t="str">
        <f t="shared" si="17"/>
        <v>มิ.ย.</v>
      </c>
      <c r="IS5" s="16" t="str">
        <f t="shared" si="17"/>
        <v>ก.ค.</v>
      </c>
      <c r="IT5" s="16" t="str">
        <f t="shared" si="17"/>
        <v>ส.ค.</v>
      </c>
      <c r="IU5" s="16" t="str">
        <f t="shared" si="17"/>
        <v>ก.ย.</v>
      </c>
      <c r="IV5" s="17" t="s">
        <v>16</v>
      </c>
      <c r="IW5" s="16" t="str">
        <f>+IJ5</f>
        <v>ต.ค.</v>
      </c>
      <c r="IX5" s="16" t="str">
        <f t="shared" ref="IX5:JH5" si="18">+IK5</f>
        <v>พ.ย.</v>
      </c>
      <c r="IY5" s="16" t="str">
        <f t="shared" si="18"/>
        <v>ธ.ค.</v>
      </c>
      <c r="IZ5" s="16" t="str">
        <f t="shared" si="18"/>
        <v>ม.ค.</v>
      </c>
      <c r="JA5" s="16" t="str">
        <f t="shared" si="18"/>
        <v>ก.พ.</v>
      </c>
      <c r="JB5" s="16" t="str">
        <f t="shared" si="18"/>
        <v>มี.ค.</v>
      </c>
      <c r="JC5" s="16" t="str">
        <f t="shared" si="18"/>
        <v>เม.ย.</v>
      </c>
      <c r="JD5" s="16" t="str">
        <f t="shared" si="18"/>
        <v>พ.ค.</v>
      </c>
      <c r="JE5" s="16" t="str">
        <f t="shared" si="18"/>
        <v>มิ.ย.</v>
      </c>
      <c r="JF5" s="16" t="str">
        <f t="shared" si="18"/>
        <v>ก.ค.</v>
      </c>
      <c r="JG5" s="16" t="str">
        <f t="shared" si="18"/>
        <v>ส.ค.</v>
      </c>
      <c r="JH5" s="16" t="str">
        <f t="shared" si="18"/>
        <v>ก.ย.</v>
      </c>
      <c r="JI5" s="17" t="s">
        <v>16</v>
      </c>
      <c r="JJ5" s="16" t="str">
        <f>+IW5</f>
        <v>ต.ค.</v>
      </c>
      <c r="JK5" s="16" t="str">
        <f t="shared" ref="JK5:JU5" si="19">+IX5</f>
        <v>พ.ย.</v>
      </c>
      <c r="JL5" s="16" t="str">
        <f t="shared" si="19"/>
        <v>ธ.ค.</v>
      </c>
      <c r="JM5" s="16" t="str">
        <f t="shared" si="19"/>
        <v>ม.ค.</v>
      </c>
      <c r="JN5" s="16" t="str">
        <f t="shared" si="19"/>
        <v>ก.พ.</v>
      </c>
      <c r="JO5" s="16" t="str">
        <f t="shared" si="19"/>
        <v>มี.ค.</v>
      </c>
      <c r="JP5" s="16" t="str">
        <f t="shared" si="19"/>
        <v>เม.ย.</v>
      </c>
      <c r="JQ5" s="16" t="str">
        <f t="shared" si="19"/>
        <v>พ.ค.</v>
      </c>
      <c r="JR5" s="16" t="str">
        <f t="shared" si="19"/>
        <v>มิ.ย.</v>
      </c>
      <c r="JS5" s="16" t="str">
        <f t="shared" si="19"/>
        <v>ก.ค.</v>
      </c>
      <c r="JT5" s="16" t="str">
        <f t="shared" si="19"/>
        <v>ส.ค.</v>
      </c>
      <c r="JU5" s="16" t="str">
        <f t="shared" si="19"/>
        <v>ก.ย.</v>
      </c>
      <c r="JV5" s="17" t="s">
        <v>16</v>
      </c>
      <c r="JW5" s="88"/>
      <c r="JX5" s="16" t="str">
        <f>+JJ5</f>
        <v>ต.ค.</v>
      </c>
      <c r="JY5" s="16" t="str">
        <f t="shared" ref="JY5:KI5" si="20">+JK5</f>
        <v>พ.ย.</v>
      </c>
      <c r="JZ5" s="16" t="str">
        <f t="shared" si="20"/>
        <v>ธ.ค.</v>
      </c>
      <c r="KA5" s="16" t="str">
        <f t="shared" si="20"/>
        <v>ม.ค.</v>
      </c>
      <c r="KB5" s="16" t="str">
        <f t="shared" si="20"/>
        <v>ก.พ.</v>
      </c>
      <c r="KC5" s="16" t="str">
        <f t="shared" si="20"/>
        <v>มี.ค.</v>
      </c>
      <c r="KD5" s="16" t="str">
        <f t="shared" si="20"/>
        <v>เม.ย.</v>
      </c>
      <c r="KE5" s="16" t="str">
        <f t="shared" si="20"/>
        <v>พ.ค.</v>
      </c>
      <c r="KF5" s="16" t="str">
        <f t="shared" si="20"/>
        <v>มิ.ย.</v>
      </c>
      <c r="KG5" s="16" t="str">
        <f t="shared" si="20"/>
        <v>ก.ค.</v>
      </c>
      <c r="KH5" s="16" t="str">
        <f t="shared" si="20"/>
        <v>ส.ค.</v>
      </c>
      <c r="KI5" s="16" t="str">
        <f t="shared" si="20"/>
        <v>ก.ย.</v>
      </c>
      <c r="KJ5" s="17" t="s">
        <v>16</v>
      </c>
      <c r="KK5" s="16" t="str">
        <f>+JX5</f>
        <v>ต.ค.</v>
      </c>
      <c r="KL5" s="16" t="str">
        <f t="shared" ref="KL5:KV5" si="21">+JY5</f>
        <v>พ.ย.</v>
      </c>
      <c r="KM5" s="16" t="str">
        <f t="shared" si="21"/>
        <v>ธ.ค.</v>
      </c>
      <c r="KN5" s="16" t="str">
        <f t="shared" si="21"/>
        <v>ม.ค.</v>
      </c>
      <c r="KO5" s="16" t="str">
        <f t="shared" si="21"/>
        <v>ก.พ.</v>
      </c>
      <c r="KP5" s="16" t="str">
        <f t="shared" si="21"/>
        <v>มี.ค.</v>
      </c>
      <c r="KQ5" s="16" t="str">
        <f t="shared" si="21"/>
        <v>เม.ย.</v>
      </c>
      <c r="KR5" s="16" t="str">
        <f t="shared" si="21"/>
        <v>พ.ค.</v>
      </c>
      <c r="KS5" s="16" t="str">
        <f t="shared" si="21"/>
        <v>มิ.ย.</v>
      </c>
      <c r="KT5" s="16" t="str">
        <f t="shared" si="21"/>
        <v>ก.ค.</v>
      </c>
      <c r="KU5" s="16" t="str">
        <f t="shared" si="21"/>
        <v>ส.ค.</v>
      </c>
      <c r="KV5" s="16" t="str">
        <f t="shared" si="21"/>
        <v>ก.ย.</v>
      </c>
      <c r="KW5" s="17" t="s">
        <v>16</v>
      </c>
      <c r="KX5" s="16" t="str">
        <f>+KK5</f>
        <v>ต.ค.</v>
      </c>
      <c r="KY5" s="16" t="str">
        <f t="shared" ref="KY5:LI5" si="22">+KL5</f>
        <v>พ.ย.</v>
      </c>
      <c r="KZ5" s="16" t="str">
        <f t="shared" si="22"/>
        <v>ธ.ค.</v>
      </c>
      <c r="LA5" s="16" t="str">
        <f t="shared" si="22"/>
        <v>ม.ค.</v>
      </c>
      <c r="LB5" s="16" t="str">
        <f t="shared" si="22"/>
        <v>ก.พ.</v>
      </c>
      <c r="LC5" s="16" t="str">
        <f t="shared" si="22"/>
        <v>มี.ค.</v>
      </c>
      <c r="LD5" s="16" t="str">
        <f t="shared" si="22"/>
        <v>เม.ย.</v>
      </c>
      <c r="LE5" s="16" t="str">
        <f t="shared" si="22"/>
        <v>พ.ค.</v>
      </c>
      <c r="LF5" s="16" t="str">
        <f t="shared" si="22"/>
        <v>มิ.ย.</v>
      </c>
      <c r="LG5" s="16" t="str">
        <f t="shared" si="22"/>
        <v>ก.ค.</v>
      </c>
      <c r="LH5" s="16" t="str">
        <f t="shared" si="22"/>
        <v>ส.ค.</v>
      </c>
      <c r="LI5" s="16" t="str">
        <f t="shared" si="22"/>
        <v>ก.ย.</v>
      </c>
      <c r="LJ5" s="17" t="s">
        <v>16</v>
      </c>
      <c r="LK5" s="88"/>
      <c r="LL5" s="16" t="str">
        <f>+KX5</f>
        <v>ต.ค.</v>
      </c>
      <c r="LM5" s="16" t="str">
        <f t="shared" ref="LM5:LW5" si="23">+KY5</f>
        <v>พ.ย.</v>
      </c>
      <c r="LN5" s="16" t="str">
        <f t="shared" si="23"/>
        <v>ธ.ค.</v>
      </c>
      <c r="LO5" s="16" t="str">
        <f t="shared" si="23"/>
        <v>ม.ค.</v>
      </c>
      <c r="LP5" s="16" t="str">
        <f t="shared" si="23"/>
        <v>ก.พ.</v>
      </c>
      <c r="LQ5" s="16" t="str">
        <f t="shared" si="23"/>
        <v>มี.ค.</v>
      </c>
      <c r="LR5" s="16" t="str">
        <f t="shared" si="23"/>
        <v>เม.ย.</v>
      </c>
      <c r="LS5" s="16" t="str">
        <f t="shared" si="23"/>
        <v>พ.ค.</v>
      </c>
      <c r="LT5" s="16" t="str">
        <f t="shared" si="23"/>
        <v>มิ.ย.</v>
      </c>
      <c r="LU5" s="16" t="str">
        <f t="shared" si="23"/>
        <v>ก.ค.</v>
      </c>
      <c r="LV5" s="16" t="str">
        <f t="shared" si="23"/>
        <v>ส.ค.</v>
      </c>
      <c r="LW5" s="16" t="str">
        <f t="shared" si="23"/>
        <v>ก.ย.</v>
      </c>
      <c r="LX5" s="17" t="s">
        <v>16</v>
      </c>
      <c r="LY5" s="16" t="str">
        <f>+LL5</f>
        <v>ต.ค.</v>
      </c>
      <c r="LZ5" s="16" t="str">
        <f t="shared" ref="LZ5:MJ5" si="24">+LM5</f>
        <v>พ.ย.</v>
      </c>
      <c r="MA5" s="16" t="str">
        <f t="shared" si="24"/>
        <v>ธ.ค.</v>
      </c>
      <c r="MB5" s="16" t="str">
        <f t="shared" si="24"/>
        <v>ม.ค.</v>
      </c>
      <c r="MC5" s="16" t="str">
        <f t="shared" si="24"/>
        <v>ก.พ.</v>
      </c>
      <c r="MD5" s="16" t="str">
        <f t="shared" si="24"/>
        <v>มี.ค.</v>
      </c>
      <c r="ME5" s="16" t="str">
        <f t="shared" si="24"/>
        <v>เม.ย.</v>
      </c>
      <c r="MF5" s="16" t="str">
        <f t="shared" si="24"/>
        <v>พ.ค.</v>
      </c>
      <c r="MG5" s="16" t="str">
        <f t="shared" si="24"/>
        <v>มิ.ย.</v>
      </c>
      <c r="MH5" s="16" t="str">
        <f t="shared" si="24"/>
        <v>ก.ค.</v>
      </c>
      <c r="MI5" s="16" t="str">
        <f t="shared" si="24"/>
        <v>ส.ค.</v>
      </c>
      <c r="MJ5" s="16" t="str">
        <f t="shared" si="24"/>
        <v>ก.ย.</v>
      </c>
      <c r="MK5" s="17" t="s">
        <v>16</v>
      </c>
      <c r="ML5" s="16" t="str">
        <f>+LY5</f>
        <v>ต.ค.</v>
      </c>
      <c r="MM5" s="16" t="str">
        <f t="shared" ref="MM5:MW5" si="25">+LZ5</f>
        <v>พ.ย.</v>
      </c>
      <c r="MN5" s="16" t="str">
        <f t="shared" si="25"/>
        <v>ธ.ค.</v>
      </c>
      <c r="MO5" s="16" t="str">
        <f t="shared" si="25"/>
        <v>ม.ค.</v>
      </c>
      <c r="MP5" s="16" t="str">
        <f t="shared" si="25"/>
        <v>ก.พ.</v>
      </c>
      <c r="MQ5" s="16" t="str">
        <f t="shared" si="25"/>
        <v>มี.ค.</v>
      </c>
      <c r="MR5" s="16" t="str">
        <f t="shared" si="25"/>
        <v>เม.ย.</v>
      </c>
      <c r="MS5" s="16" t="str">
        <f t="shared" si="25"/>
        <v>พ.ค.</v>
      </c>
      <c r="MT5" s="16" t="str">
        <f t="shared" si="25"/>
        <v>มิ.ย.</v>
      </c>
      <c r="MU5" s="16" t="str">
        <f t="shared" si="25"/>
        <v>ก.ค.</v>
      </c>
      <c r="MV5" s="16" t="str">
        <f t="shared" si="25"/>
        <v>ส.ค.</v>
      </c>
      <c r="MW5" s="16" t="str">
        <f t="shared" si="25"/>
        <v>ก.ย.</v>
      </c>
      <c r="MX5" s="17" t="s">
        <v>16</v>
      </c>
      <c r="MY5" s="88"/>
      <c r="MZ5" s="16" t="str">
        <f>+ML5</f>
        <v>ต.ค.</v>
      </c>
      <c r="NA5" s="16" t="str">
        <f t="shared" ref="NA5:NK5" si="26">+MM5</f>
        <v>พ.ย.</v>
      </c>
      <c r="NB5" s="16" t="str">
        <f t="shared" si="26"/>
        <v>ธ.ค.</v>
      </c>
      <c r="NC5" s="16" t="str">
        <f t="shared" si="26"/>
        <v>ม.ค.</v>
      </c>
      <c r="ND5" s="16" t="str">
        <f t="shared" si="26"/>
        <v>ก.พ.</v>
      </c>
      <c r="NE5" s="16" t="str">
        <f t="shared" si="26"/>
        <v>มี.ค.</v>
      </c>
      <c r="NF5" s="16" t="str">
        <f t="shared" si="26"/>
        <v>เม.ย.</v>
      </c>
      <c r="NG5" s="16" t="str">
        <f t="shared" si="26"/>
        <v>พ.ค.</v>
      </c>
      <c r="NH5" s="16" t="str">
        <f t="shared" si="26"/>
        <v>มิ.ย.</v>
      </c>
      <c r="NI5" s="16" t="str">
        <f t="shared" si="26"/>
        <v>ก.ค.</v>
      </c>
      <c r="NJ5" s="16" t="str">
        <f t="shared" si="26"/>
        <v>ส.ค.</v>
      </c>
      <c r="NK5" s="16" t="str">
        <f t="shared" si="26"/>
        <v>ก.ย.</v>
      </c>
      <c r="NL5" s="17" t="s">
        <v>16</v>
      </c>
      <c r="NM5" s="16" t="str">
        <f>+MZ5</f>
        <v>ต.ค.</v>
      </c>
      <c r="NN5" s="16" t="str">
        <f t="shared" ref="NN5:NX5" si="27">+NA5</f>
        <v>พ.ย.</v>
      </c>
      <c r="NO5" s="16" t="str">
        <f t="shared" si="27"/>
        <v>ธ.ค.</v>
      </c>
      <c r="NP5" s="16" t="str">
        <f t="shared" si="27"/>
        <v>ม.ค.</v>
      </c>
      <c r="NQ5" s="16" t="str">
        <f t="shared" si="27"/>
        <v>ก.พ.</v>
      </c>
      <c r="NR5" s="16" t="str">
        <f t="shared" si="27"/>
        <v>มี.ค.</v>
      </c>
      <c r="NS5" s="16" t="str">
        <f t="shared" si="27"/>
        <v>เม.ย.</v>
      </c>
      <c r="NT5" s="16" t="str">
        <f t="shared" si="27"/>
        <v>พ.ค.</v>
      </c>
      <c r="NU5" s="16" t="str">
        <f t="shared" si="27"/>
        <v>มิ.ย.</v>
      </c>
      <c r="NV5" s="16" t="str">
        <f t="shared" si="27"/>
        <v>ก.ค.</v>
      </c>
      <c r="NW5" s="16" t="str">
        <f t="shared" si="27"/>
        <v>ส.ค.</v>
      </c>
      <c r="NX5" s="16" t="str">
        <f t="shared" si="27"/>
        <v>ก.ย.</v>
      </c>
      <c r="NY5" s="17" t="s">
        <v>16</v>
      </c>
      <c r="NZ5" s="16" t="str">
        <f>+NM5</f>
        <v>ต.ค.</v>
      </c>
      <c r="OA5" s="16" t="str">
        <f t="shared" ref="OA5:OK5" si="28">+NN5</f>
        <v>พ.ย.</v>
      </c>
      <c r="OB5" s="16" t="str">
        <f t="shared" si="28"/>
        <v>ธ.ค.</v>
      </c>
      <c r="OC5" s="16" t="str">
        <f t="shared" si="28"/>
        <v>ม.ค.</v>
      </c>
      <c r="OD5" s="16" t="str">
        <f t="shared" si="28"/>
        <v>ก.พ.</v>
      </c>
      <c r="OE5" s="16" t="str">
        <f t="shared" si="28"/>
        <v>มี.ค.</v>
      </c>
      <c r="OF5" s="16" t="str">
        <f t="shared" si="28"/>
        <v>เม.ย.</v>
      </c>
      <c r="OG5" s="16" t="str">
        <f t="shared" si="28"/>
        <v>พ.ค.</v>
      </c>
      <c r="OH5" s="16" t="str">
        <f t="shared" si="28"/>
        <v>มิ.ย.</v>
      </c>
      <c r="OI5" s="16" t="str">
        <f t="shared" si="28"/>
        <v>ก.ค.</v>
      </c>
      <c r="OJ5" s="16" t="str">
        <f t="shared" si="28"/>
        <v>ส.ค.</v>
      </c>
      <c r="OK5" s="16" t="str">
        <f t="shared" si="28"/>
        <v>ก.ย.</v>
      </c>
      <c r="OL5" s="17" t="s">
        <v>16</v>
      </c>
      <c r="OM5" s="88"/>
      <c r="ON5" s="16" t="str">
        <f>+NZ5</f>
        <v>ต.ค.</v>
      </c>
      <c r="OO5" s="16" t="str">
        <f t="shared" ref="OO5:OY5" si="29">+OA5</f>
        <v>พ.ย.</v>
      </c>
      <c r="OP5" s="16" t="str">
        <f t="shared" si="29"/>
        <v>ธ.ค.</v>
      </c>
      <c r="OQ5" s="16" t="str">
        <f t="shared" si="29"/>
        <v>ม.ค.</v>
      </c>
      <c r="OR5" s="16" t="str">
        <f t="shared" si="29"/>
        <v>ก.พ.</v>
      </c>
      <c r="OS5" s="16" t="str">
        <f t="shared" si="29"/>
        <v>มี.ค.</v>
      </c>
      <c r="OT5" s="16" t="str">
        <f t="shared" si="29"/>
        <v>เม.ย.</v>
      </c>
      <c r="OU5" s="16" t="str">
        <f t="shared" si="29"/>
        <v>พ.ค.</v>
      </c>
      <c r="OV5" s="16" t="str">
        <f t="shared" si="29"/>
        <v>มิ.ย.</v>
      </c>
      <c r="OW5" s="16" t="str">
        <f t="shared" si="29"/>
        <v>ก.ค.</v>
      </c>
      <c r="OX5" s="16" t="str">
        <f t="shared" si="29"/>
        <v>ส.ค.</v>
      </c>
      <c r="OY5" s="16" t="str">
        <f t="shared" si="29"/>
        <v>ก.ย.</v>
      </c>
      <c r="OZ5" s="17" t="s">
        <v>16</v>
      </c>
      <c r="PA5" s="16" t="str">
        <f>+ON5</f>
        <v>ต.ค.</v>
      </c>
      <c r="PB5" s="16" t="str">
        <f t="shared" ref="PB5:PL5" si="30">+OO5</f>
        <v>พ.ย.</v>
      </c>
      <c r="PC5" s="16" t="str">
        <f t="shared" si="30"/>
        <v>ธ.ค.</v>
      </c>
      <c r="PD5" s="16" t="str">
        <f t="shared" si="30"/>
        <v>ม.ค.</v>
      </c>
      <c r="PE5" s="16" t="str">
        <f t="shared" si="30"/>
        <v>ก.พ.</v>
      </c>
      <c r="PF5" s="16" t="str">
        <f t="shared" si="30"/>
        <v>มี.ค.</v>
      </c>
      <c r="PG5" s="16" t="str">
        <f t="shared" si="30"/>
        <v>เม.ย.</v>
      </c>
      <c r="PH5" s="16" t="str">
        <f t="shared" si="30"/>
        <v>พ.ค.</v>
      </c>
      <c r="PI5" s="16" t="str">
        <f t="shared" si="30"/>
        <v>มิ.ย.</v>
      </c>
      <c r="PJ5" s="16" t="str">
        <f t="shared" si="30"/>
        <v>ก.ค.</v>
      </c>
      <c r="PK5" s="16" t="str">
        <f t="shared" si="30"/>
        <v>ส.ค.</v>
      </c>
      <c r="PL5" s="16" t="str">
        <f t="shared" si="30"/>
        <v>ก.ย.</v>
      </c>
      <c r="PM5" s="17" t="s">
        <v>16</v>
      </c>
      <c r="PN5" s="16" t="str">
        <f>+PA5</f>
        <v>ต.ค.</v>
      </c>
      <c r="PO5" s="16" t="str">
        <f t="shared" ref="PO5" si="31">+PB5</f>
        <v>พ.ย.</v>
      </c>
      <c r="PP5" s="16" t="str">
        <f t="shared" ref="PP5" si="32">+PC5</f>
        <v>ธ.ค.</v>
      </c>
      <c r="PQ5" s="16" t="str">
        <f t="shared" ref="PQ5" si="33">+PD5</f>
        <v>ม.ค.</v>
      </c>
      <c r="PR5" s="16" t="str">
        <f t="shared" ref="PR5" si="34">+PE5</f>
        <v>ก.พ.</v>
      </c>
      <c r="PS5" s="16" t="str">
        <f t="shared" ref="PS5" si="35">+PF5</f>
        <v>มี.ค.</v>
      </c>
      <c r="PT5" s="16" t="str">
        <f t="shared" ref="PT5" si="36">+PG5</f>
        <v>เม.ย.</v>
      </c>
      <c r="PU5" s="16" t="str">
        <f t="shared" ref="PU5" si="37">+PH5</f>
        <v>พ.ค.</v>
      </c>
      <c r="PV5" s="16" t="str">
        <f t="shared" ref="PV5" si="38">+PI5</f>
        <v>มิ.ย.</v>
      </c>
      <c r="PW5" s="16" t="str">
        <f t="shared" ref="PW5" si="39">+PJ5</f>
        <v>ก.ค.</v>
      </c>
      <c r="PX5" s="16" t="str">
        <f t="shared" ref="PX5" si="40">+PK5</f>
        <v>ส.ค.</v>
      </c>
      <c r="PY5" s="16" t="str">
        <f t="shared" ref="PY5" si="41">+PL5</f>
        <v>ก.ย.</v>
      </c>
      <c r="PZ5" s="17" t="s">
        <v>16</v>
      </c>
      <c r="QA5" s="16" t="str">
        <f>+PN5</f>
        <v>ต.ค.</v>
      </c>
      <c r="QB5" s="16" t="str">
        <f t="shared" ref="QB5:QL5" si="42">+PO5</f>
        <v>พ.ย.</v>
      </c>
      <c r="QC5" s="16" t="str">
        <f t="shared" si="42"/>
        <v>ธ.ค.</v>
      </c>
      <c r="QD5" s="16" t="str">
        <f t="shared" si="42"/>
        <v>ม.ค.</v>
      </c>
      <c r="QE5" s="16" t="str">
        <f t="shared" si="42"/>
        <v>ก.พ.</v>
      </c>
      <c r="QF5" s="16" t="str">
        <f t="shared" si="42"/>
        <v>มี.ค.</v>
      </c>
      <c r="QG5" s="16" t="str">
        <f t="shared" si="42"/>
        <v>เม.ย.</v>
      </c>
      <c r="QH5" s="16" t="str">
        <f t="shared" si="42"/>
        <v>พ.ค.</v>
      </c>
      <c r="QI5" s="16" t="str">
        <f t="shared" si="42"/>
        <v>มิ.ย.</v>
      </c>
      <c r="QJ5" s="16" t="str">
        <f t="shared" si="42"/>
        <v>ก.ค.</v>
      </c>
      <c r="QK5" s="16" t="str">
        <f t="shared" si="42"/>
        <v>ส.ค.</v>
      </c>
      <c r="QL5" s="16" t="str">
        <f t="shared" si="42"/>
        <v>ก.ย.</v>
      </c>
      <c r="QM5" s="17" t="s">
        <v>16</v>
      </c>
      <c r="QN5" s="16" t="str">
        <f>+QA5</f>
        <v>ต.ค.</v>
      </c>
      <c r="QO5" s="16" t="str">
        <f t="shared" ref="QO5" si="43">+QB5</f>
        <v>พ.ย.</v>
      </c>
      <c r="QP5" s="16" t="str">
        <f t="shared" ref="QP5" si="44">+QC5</f>
        <v>ธ.ค.</v>
      </c>
      <c r="QQ5" s="16" t="str">
        <f t="shared" ref="QQ5" si="45">+QD5</f>
        <v>ม.ค.</v>
      </c>
      <c r="QR5" s="16" t="str">
        <f t="shared" ref="QR5" si="46">+QE5</f>
        <v>ก.พ.</v>
      </c>
      <c r="QS5" s="16" t="str">
        <f t="shared" ref="QS5" si="47">+QF5</f>
        <v>มี.ค.</v>
      </c>
      <c r="QT5" s="16" t="str">
        <f t="shared" ref="QT5" si="48">+QG5</f>
        <v>เม.ย.</v>
      </c>
      <c r="QU5" s="16" t="str">
        <f t="shared" ref="QU5" si="49">+QH5</f>
        <v>พ.ค.</v>
      </c>
      <c r="QV5" s="16" t="str">
        <f t="shared" ref="QV5" si="50">+QI5</f>
        <v>มิ.ย.</v>
      </c>
      <c r="QW5" s="16" t="str">
        <f t="shared" ref="QW5" si="51">+QJ5</f>
        <v>ก.ค.</v>
      </c>
      <c r="QX5" s="16" t="str">
        <f t="shared" ref="QX5" si="52">+QK5</f>
        <v>ส.ค.</v>
      </c>
      <c r="QY5" s="16" t="str">
        <f t="shared" ref="QY5" si="53">+QL5</f>
        <v>ก.ย.</v>
      </c>
      <c r="QZ5" s="17" t="s">
        <v>16</v>
      </c>
      <c r="RA5" s="88"/>
      <c r="RB5" s="24"/>
    </row>
    <row r="6" spans="1:471" x14ac:dyDescent="0.35">
      <c r="A6" s="5" t="s">
        <v>1</v>
      </c>
      <c r="B6" s="5" t="s">
        <v>8</v>
      </c>
      <c r="C6" s="5" t="s">
        <v>17</v>
      </c>
      <c r="D6" s="4">
        <v>139970</v>
      </c>
      <c r="E6" s="4">
        <v>139970</v>
      </c>
      <c r="F6" s="4">
        <v>139970</v>
      </c>
      <c r="G6" s="4">
        <v>139970</v>
      </c>
      <c r="H6" s="4">
        <v>139970</v>
      </c>
      <c r="I6" s="4">
        <v>139970</v>
      </c>
      <c r="J6" s="37">
        <f>41820+146940</f>
        <v>188760</v>
      </c>
      <c r="K6" s="37">
        <v>146940</v>
      </c>
      <c r="L6" s="4">
        <v>146940</v>
      </c>
      <c r="M6" s="4">
        <v>146940</v>
      </c>
      <c r="N6" s="4">
        <v>146940</v>
      </c>
      <c r="O6" s="4">
        <v>146940</v>
      </c>
      <c r="P6" s="4">
        <f>SUM(D6:O6)</f>
        <v>1763280</v>
      </c>
      <c r="Q6" s="4">
        <v>3000</v>
      </c>
      <c r="R6" s="4">
        <v>3000</v>
      </c>
      <c r="S6" s="4">
        <v>3000</v>
      </c>
      <c r="T6" s="4">
        <v>3000</v>
      </c>
      <c r="U6" s="4">
        <v>3000</v>
      </c>
      <c r="V6" s="4">
        <v>3000</v>
      </c>
      <c r="W6" s="4">
        <v>3000</v>
      </c>
      <c r="X6" s="4">
        <v>3000</v>
      </c>
      <c r="Y6" s="4">
        <v>3000</v>
      </c>
      <c r="Z6" s="4">
        <v>3000</v>
      </c>
      <c r="AA6" s="4">
        <v>3000</v>
      </c>
      <c r="AB6" s="4">
        <v>3000</v>
      </c>
      <c r="AC6" s="4">
        <f>SUM(Q6:AB6)</f>
        <v>36000</v>
      </c>
      <c r="AD6" s="4">
        <v>3355</v>
      </c>
      <c r="AE6" s="4">
        <v>3355</v>
      </c>
      <c r="AF6" s="4">
        <v>3355</v>
      </c>
      <c r="AG6" s="4">
        <v>3355</v>
      </c>
      <c r="AH6" s="4">
        <v>3355</v>
      </c>
      <c r="AI6" s="4">
        <v>3355</v>
      </c>
      <c r="AJ6" s="37">
        <f>1000+3523</f>
        <v>4523</v>
      </c>
      <c r="AK6" s="4">
        <v>3523</v>
      </c>
      <c r="AL6" s="4">
        <v>3523</v>
      </c>
      <c r="AM6" s="4">
        <v>3523</v>
      </c>
      <c r="AN6" s="4">
        <v>3523</v>
      </c>
      <c r="AO6" s="4">
        <v>3523</v>
      </c>
      <c r="AP6" s="4">
        <f>SUM(AD6:AO6)</f>
        <v>42268</v>
      </c>
      <c r="AQ6" s="4">
        <f>+P6+AC6+AP6</f>
        <v>1841548</v>
      </c>
      <c r="AR6" s="4">
        <v>269990</v>
      </c>
      <c r="AS6" s="4">
        <v>269990</v>
      </c>
      <c r="AT6" s="4">
        <v>269990</v>
      </c>
      <c r="AU6" s="4">
        <v>269990</v>
      </c>
      <c r="AV6" s="4">
        <v>269990</v>
      </c>
      <c r="AW6" s="4">
        <v>269990</v>
      </c>
      <c r="AX6" s="37">
        <f>78780+283120</f>
        <v>361900</v>
      </c>
      <c r="AY6" s="4">
        <v>283120</v>
      </c>
      <c r="AZ6" s="4">
        <v>283120</v>
      </c>
      <c r="BA6" s="4">
        <v>283120</v>
      </c>
      <c r="BB6" s="4">
        <v>283120</v>
      </c>
      <c r="BC6" s="4">
        <v>283120</v>
      </c>
      <c r="BD6" s="4">
        <f>SUM(AR6:BC6)</f>
        <v>3397440</v>
      </c>
      <c r="BE6" s="4">
        <v>6000</v>
      </c>
      <c r="BF6" s="4">
        <v>6000</v>
      </c>
      <c r="BG6" s="4">
        <v>6000</v>
      </c>
      <c r="BH6" s="4">
        <v>6000</v>
      </c>
      <c r="BI6" s="4">
        <v>6000</v>
      </c>
      <c r="BJ6" s="4">
        <v>6000</v>
      </c>
      <c r="BK6" s="4">
        <v>6000</v>
      </c>
      <c r="BL6" s="4">
        <v>6000</v>
      </c>
      <c r="BM6" s="4">
        <v>6000</v>
      </c>
      <c r="BN6" s="4">
        <v>6000</v>
      </c>
      <c r="BO6" s="4">
        <v>6000</v>
      </c>
      <c r="BP6" s="4">
        <v>6000</v>
      </c>
      <c r="BQ6" s="4">
        <f>SUM(BE6:BP6)</f>
        <v>72000</v>
      </c>
      <c r="BR6" s="4">
        <v>7123</v>
      </c>
      <c r="BS6" s="4">
        <v>7123</v>
      </c>
      <c r="BT6" s="4">
        <v>7123</v>
      </c>
      <c r="BU6" s="4">
        <v>7123</v>
      </c>
      <c r="BV6" s="4">
        <v>7123</v>
      </c>
      <c r="BW6" s="4">
        <v>7123</v>
      </c>
      <c r="BX6" s="37">
        <f>2070+8492</f>
        <v>10562</v>
      </c>
      <c r="BY6" s="4">
        <v>8492</v>
      </c>
      <c r="BZ6" s="4">
        <v>8492</v>
      </c>
      <c r="CA6" s="4">
        <v>8492</v>
      </c>
      <c r="CB6" s="4">
        <v>8492</v>
      </c>
      <c r="CC6" s="4">
        <v>8492</v>
      </c>
      <c r="CD6" s="4">
        <f>SUM(BR6:CC6)</f>
        <v>95760</v>
      </c>
      <c r="CE6" s="4">
        <f>+BD6+BQ6+CD6</f>
        <v>3565200</v>
      </c>
      <c r="CF6" s="4">
        <v>189650</v>
      </c>
      <c r="CG6" s="4">
        <v>189650</v>
      </c>
      <c r="CH6" s="4">
        <v>189650</v>
      </c>
      <c r="CI6" s="4">
        <v>189650</v>
      </c>
      <c r="CJ6" s="4">
        <v>189650</v>
      </c>
      <c r="CK6" s="4">
        <v>189650</v>
      </c>
      <c r="CL6" s="37">
        <f>47280+197530</f>
        <v>244810</v>
      </c>
      <c r="CM6" s="4">
        <v>197530</v>
      </c>
      <c r="CN6" s="4">
        <v>197530</v>
      </c>
      <c r="CO6" s="4">
        <v>197530</v>
      </c>
      <c r="CP6" s="4">
        <v>197530</v>
      </c>
      <c r="CQ6" s="4">
        <v>197530</v>
      </c>
      <c r="CR6" s="4">
        <f>SUM(CF6:CQ6)</f>
        <v>2370360</v>
      </c>
      <c r="CS6" s="4">
        <v>4500</v>
      </c>
      <c r="CT6" s="4">
        <v>4500</v>
      </c>
      <c r="CU6" s="4">
        <v>4500</v>
      </c>
      <c r="CV6" s="4">
        <v>4500</v>
      </c>
      <c r="CW6" s="4">
        <v>4500</v>
      </c>
      <c r="CX6" s="4">
        <v>4500</v>
      </c>
      <c r="CY6" s="4">
        <v>4500</v>
      </c>
      <c r="CZ6" s="4">
        <v>4500</v>
      </c>
      <c r="DA6" s="4">
        <v>4500</v>
      </c>
      <c r="DB6" s="4">
        <v>4500</v>
      </c>
      <c r="DC6" s="4">
        <v>4500</v>
      </c>
      <c r="DD6" s="4">
        <v>4500</v>
      </c>
      <c r="DE6" s="4">
        <f>SUM(CS6:DD6)</f>
        <v>54000</v>
      </c>
      <c r="DF6" s="4">
        <v>5690</v>
      </c>
      <c r="DG6" s="4">
        <v>5690</v>
      </c>
      <c r="DH6" s="4">
        <v>5690</v>
      </c>
      <c r="DI6" s="4">
        <v>5690</v>
      </c>
      <c r="DJ6" s="4">
        <v>5690</v>
      </c>
      <c r="DK6" s="4">
        <v>5690</v>
      </c>
      <c r="DL6" s="37">
        <f>1416+5926</f>
        <v>7342</v>
      </c>
      <c r="DM6" s="4">
        <v>5926</v>
      </c>
      <c r="DN6" s="4">
        <v>5926</v>
      </c>
      <c r="DO6" s="4">
        <v>5926</v>
      </c>
      <c r="DP6" s="4">
        <v>5926</v>
      </c>
      <c r="DQ6" s="4">
        <v>5926</v>
      </c>
      <c r="DR6" s="4">
        <f>SUM(DF6:DQ6)</f>
        <v>71112</v>
      </c>
      <c r="DS6" s="4">
        <f>+CR6+DE6+DR6</f>
        <v>2495472</v>
      </c>
      <c r="DT6" s="4">
        <v>253820</v>
      </c>
      <c r="DU6" s="4">
        <v>253820</v>
      </c>
      <c r="DV6" s="4">
        <v>253820</v>
      </c>
      <c r="DW6" s="4">
        <v>253820</v>
      </c>
      <c r="DX6" s="4">
        <v>253820</v>
      </c>
      <c r="DY6" s="4">
        <v>253820</v>
      </c>
      <c r="DZ6" s="37">
        <f>68220+265190</f>
        <v>333410</v>
      </c>
      <c r="EA6" s="4">
        <v>265190</v>
      </c>
      <c r="EB6" s="4">
        <v>265190</v>
      </c>
      <c r="EC6" s="4">
        <v>265190</v>
      </c>
      <c r="ED6" s="4">
        <v>265190</v>
      </c>
      <c r="EE6" s="4">
        <v>265190</v>
      </c>
      <c r="EF6" s="4">
        <f>SUM(DT6:EE6)</f>
        <v>3182280</v>
      </c>
      <c r="EG6" s="4">
        <v>6000</v>
      </c>
      <c r="EH6" s="4">
        <v>6000</v>
      </c>
      <c r="EI6" s="4">
        <v>6000</v>
      </c>
      <c r="EJ6" s="4">
        <v>6000</v>
      </c>
      <c r="EK6" s="4">
        <v>6000</v>
      </c>
      <c r="EL6" s="4">
        <v>6000</v>
      </c>
      <c r="EM6" s="4">
        <v>6000</v>
      </c>
      <c r="EN6" s="4">
        <v>6000</v>
      </c>
      <c r="EO6" s="4">
        <v>6000</v>
      </c>
      <c r="EP6" s="4">
        <v>6000</v>
      </c>
      <c r="EQ6" s="4">
        <v>6000</v>
      </c>
      <c r="ER6" s="4">
        <v>6000</v>
      </c>
      <c r="ES6" s="4">
        <f>SUM(EG6:ER6)</f>
        <v>72000</v>
      </c>
      <c r="ET6" s="4">
        <v>6645</v>
      </c>
      <c r="EU6" s="4">
        <v>6645</v>
      </c>
      <c r="EV6" s="4">
        <v>6645</v>
      </c>
      <c r="EW6" s="4">
        <v>6645</v>
      </c>
      <c r="EX6" s="4">
        <v>6645</v>
      </c>
      <c r="EY6" s="4">
        <v>6645</v>
      </c>
      <c r="EZ6" s="37">
        <f>1758+6938</f>
        <v>8696</v>
      </c>
      <c r="FA6" s="4">
        <v>6938</v>
      </c>
      <c r="FB6" s="4">
        <v>6938</v>
      </c>
      <c r="FC6" s="4">
        <v>6938</v>
      </c>
      <c r="FD6" s="4">
        <v>6938</v>
      </c>
      <c r="FE6" s="4">
        <v>6938</v>
      </c>
      <c r="FF6" s="4">
        <f>SUM(ET6:FE6)</f>
        <v>83256</v>
      </c>
      <c r="FG6" s="4">
        <f>+EF6+ES6+FF6</f>
        <v>3337536</v>
      </c>
      <c r="FH6" s="4">
        <v>310600</v>
      </c>
      <c r="FI6" s="4">
        <v>310600</v>
      </c>
      <c r="FJ6" s="4">
        <v>310600</v>
      </c>
      <c r="FK6" s="4">
        <v>310600</v>
      </c>
      <c r="FL6" s="4">
        <v>310600</v>
      </c>
      <c r="FM6" s="4">
        <v>310600</v>
      </c>
      <c r="FN6" s="37">
        <f>75900+323250</f>
        <v>399150</v>
      </c>
      <c r="FO6" s="4">
        <v>323250</v>
      </c>
      <c r="FP6" s="4">
        <v>323250</v>
      </c>
      <c r="FQ6" s="4">
        <v>323250</v>
      </c>
      <c r="FR6" s="4">
        <v>323250</v>
      </c>
      <c r="FS6" s="4">
        <v>323250</v>
      </c>
      <c r="FT6" s="4">
        <f>SUM(FH6:FS6)</f>
        <v>3879000</v>
      </c>
      <c r="FU6" s="4">
        <v>7500</v>
      </c>
      <c r="FV6" s="4">
        <v>7500</v>
      </c>
      <c r="FW6" s="4">
        <v>7500</v>
      </c>
      <c r="FX6" s="4">
        <v>7500</v>
      </c>
      <c r="FY6" s="4">
        <v>7500</v>
      </c>
      <c r="FZ6" s="4">
        <v>7500</v>
      </c>
      <c r="GA6" s="4">
        <v>7500</v>
      </c>
      <c r="GB6" s="4">
        <v>7500</v>
      </c>
      <c r="GC6" s="4">
        <v>7500</v>
      </c>
      <c r="GD6" s="4">
        <v>7500</v>
      </c>
      <c r="GE6" s="4">
        <v>7500</v>
      </c>
      <c r="GF6" s="4">
        <v>7500</v>
      </c>
      <c r="GG6" s="4">
        <f>SUM(FU6:GF6)</f>
        <v>90000</v>
      </c>
      <c r="GH6" s="4">
        <v>9318</v>
      </c>
      <c r="GI6" s="4">
        <v>9318</v>
      </c>
      <c r="GJ6" s="4">
        <v>9318</v>
      </c>
      <c r="GK6" s="4">
        <v>9318</v>
      </c>
      <c r="GL6" s="4">
        <v>9318</v>
      </c>
      <c r="GM6" s="4">
        <v>9318</v>
      </c>
      <c r="GN6" s="37">
        <f>2286+9698</f>
        <v>11984</v>
      </c>
      <c r="GO6" s="4">
        <v>9698</v>
      </c>
      <c r="GP6" s="4">
        <v>9698</v>
      </c>
      <c r="GQ6" s="4">
        <v>9698</v>
      </c>
      <c r="GR6" s="4">
        <v>9698</v>
      </c>
      <c r="GS6" s="4">
        <v>9698</v>
      </c>
      <c r="GT6" s="4">
        <f>SUM(GH6:GS6)</f>
        <v>116382</v>
      </c>
      <c r="GU6" s="4">
        <f>+FT6+GG6+GT6</f>
        <v>4085382</v>
      </c>
      <c r="GV6" s="4">
        <v>292130</v>
      </c>
      <c r="GW6" s="4">
        <v>292130</v>
      </c>
      <c r="GX6" s="4">
        <v>292130</v>
      </c>
      <c r="GY6" s="4">
        <v>292130</v>
      </c>
      <c r="GZ6" s="4">
        <v>292130</v>
      </c>
      <c r="HA6" s="4">
        <v>292130</v>
      </c>
      <c r="HB6" s="37">
        <f>67740+303420</f>
        <v>371160</v>
      </c>
      <c r="HC6" s="4">
        <v>303420</v>
      </c>
      <c r="HD6" s="4">
        <v>303420</v>
      </c>
      <c r="HE6" s="4">
        <v>303420</v>
      </c>
      <c r="HF6" s="4">
        <v>303420</v>
      </c>
      <c r="HG6" s="4">
        <v>303420</v>
      </c>
      <c r="HH6" s="4">
        <f>SUM(GV6:HG6)</f>
        <v>3641040</v>
      </c>
      <c r="HI6" s="4">
        <v>6750</v>
      </c>
      <c r="HJ6" s="4">
        <v>6750</v>
      </c>
      <c r="HK6" s="4">
        <v>6750</v>
      </c>
      <c r="HL6" s="4">
        <v>6750</v>
      </c>
      <c r="HM6" s="4">
        <v>6750</v>
      </c>
      <c r="HN6" s="4">
        <v>6750</v>
      </c>
      <c r="HO6" s="4">
        <v>6750</v>
      </c>
      <c r="HP6" s="4">
        <v>6750</v>
      </c>
      <c r="HQ6" s="4">
        <v>6750</v>
      </c>
      <c r="HR6" s="4">
        <v>6750</v>
      </c>
      <c r="HS6" s="4">
        <v>6750</v>
      </c>
      <c r="HT6" s="4">
        <v>6750</v>
      </c>
      <c r="HU6" s="4">
        <f>SUM(HI6:HT6)</f>
        <v>81000</v>
      </c>
      <c r="HV6" s="4">
        <v>7821</v>
      </c>
      <c r="HW6" s="4">
        <v>7821</v>
      </c>
      <c r="HX6" s="4">
        <v>7821</v>
      </c>
      <c r="HY6" s="4">
        <v>7821</v>
      </c>
      <c r="HZ6" s="4">
        <v>7821</v>
      </c>
      <c r="IA6" s="4">
        <v>7821</v>
      </c>
      <c r="IB6" s="37">
        <f>2040+8157</f>
        <v>10197</v>
      </c>
      <c r="IC6" s="4">
        <v>8157</v>
      </c>
      <c r="ID6" s="4">
        <v>9102</v>
      </c>
      <c r="IE6" s="4">
        <v>9102</v>
      </c>
      <c r="IF6" s="4">
        <v>9102</v>
      </c>
      <c r="IG6" s="4">
        <v>9102</v>
      </c>
      <c r="IH6" s="4">
        <f>SUM(HV6:IG6)</f>
        <v>101688</v>
      </c>
      <c r="II6" s="4">
        <f>+HH6+HU6+IH6</f>
        <v>3823728</v>
      </c>
      <c r="IJ6" s="4">
        <v>263700</v>
      </c>
      <c r="IK6" s="4">
        <v>263700</v>
      </c>
      <c r="IL6" s="4">
        <v>236100</v>
      </c>
      <c r="IM6" s="4">
        <v>236100</v>
      </c>
      <c r="IN6" s="4">
        <v>267600</v>
      </c>
      <c r="IO6" s="4">
        <v>267600</v>
      </c>
      <c r="IP6" s="37">
        <f>61855+26879.23+281420</f>
        <v>370154.23</v>
      </c>
      <c r="IQ6" s="4">
        <v>281420</v>
      </c>
      <c r="IR6" s="4">
        <v>281420</v>
      </c>
      <c r="IS6" s="4">
        <f>7350+281420</f>
        <v>288770</v>
      </c>
      <c r="IT6" s="4">
        <v>281420</v>
      </c>
      <c r="IU6" s="4">
        <v>281420</v>
      </c>
      <c r="IV6" s="4">
        <f>SUM(IJ6:IU6)</f>
        <v>3319404.23</v>
      </c>
      <c r="IW6" s="4">
        <v>6000</v>
      </c>
      <c r="IX6" s="4">
        <v>6000</v>
      </c>
      <c r="IY6" s="4">
        <v>5250</v>
      </c>
      <c r="IZ6" s="4">
        <v>5250</v>
      </c>
      <c r="JA6" s="4">
        <v>6000</v>
      </c>
      <c r="JB6" s="4">
        <v>6000</v>
      </c>
      <c r="JC6" s="4">
        <v>6000</v>
      </c>
      <c r="JD6" s="4">
        <v>6000</v>
      </c>
      <c r="JE6" s="4">
        <v>6000</v>
      </c>
      <c r="JF6" s="4">
        <v>6000</v>
      </c>
      <c r="JG6" s="4">
        <v>6000</v>
      </c>
      <c r="JH6" s="4">
        <v>6000</v>
      </c>
      <c r="JI6" s="4">
        <f>SUM(IW6:JH6)</f>
        <v>70500</v>
      </c>
      <c r="JJ6" s="4">
        <v>5861</v>
      </c>
      <c r="JK6" s="4">
        <v>5861</v>
      </c>
      <c r="JL6" s="4">
        <v>5033</v>
      </c>
      <c r="JM6" s="4">
        <v>5033</v>
      </c>
      <c r="JN6" s="4">
        <v>5978</v>
      </c>
      <c r="JO6" s="4">
        <v>5978</v>
      </c>
      <c r="JP6" s="37">
        <f>1309+1668+6301</f>
        <v>9278</v>
      </c>
      <c r="JQ6" s="4">
        <v>6301</v>
      </c>
      <c r="JR6" s="4">
        <v>6301</v>
      </c>
      <c r="JS6" s="4">
        <f>222+6301</f>
        <v>6523</v>
      </c>
      <c r="JT6" s="4">
        <v>6301</v>
      </c>
      <c r="JU6" s="4">
        <v>6301</v>
      </c>
      <c r="JV6" s="4">
        <f>SUM(JJ6:JU6)</f>
        <v>74749</v>
      </c>
      <c r="JW6" s="4">
        <f>+IV6+JI6+JV6</f>
        <v>3464653.23</v>
      </c>
      <c r="JX6" s="4">
        <v>312030</v>
      </c>
      <c r="JY6" s="4">
        <v>312030</v>
      </c>
      <c r="JZ6" s="4">
        <v>312030</v>
      </c>
      <c r="KA6" s="4">
        <v>312030</v>
      </c>
      <c r="KB6" s="4">
        <v>312030</v>
      </c>
      <c r="KC6" s="4">
        <v>312030</v>
      </c>
      <c r="KD6" s="37">
        <f>76320+324750</f>
        <v>401070</v>
      </c>
      <c r="KE6" s="4">
        <v>324750</v>
      </c>
      <c r="KF6" s="4">
        <v>324750</v>
      </c>
      <c r="KG6" s="4">
        <v>327200</v>
      </c>
      <c r="KH6" s="4">
        <v>327200</v>
      </c>
      <c r="KI6" s="4">
        <v>327200</v>
      </c>
      <c r="KJ6" s="4">
        <f>SUM(JX6:KI6)</f>
        <v>3904350</v>
      </c>
      <c r="KK6" s="4">
        <v>6750</v>
      </c>
      <c r="KL6" s="4">
        <v>6750</v>
      </c>
      <c r="KM6" s="4">
        <v>6750</v>
      </c>
      <c r="KN6" s="4">
        <v>6750</v>
      </c>
      <c r="KO6" s="4">
        <v>6750</v>
      </c>
      <c r="KP6" s="4">
        <v>6750</v>
      </c>
      <c r="KQ6" s="4">
        <v>6750</v>
      </c>
      <c r="KR6" s="4">
        <v>6750</v>
      </c>
      <c r="KS6" s="4">
        <v>6750</v>
      </c>
      <c r="KT6" s="4">
        <v>6750</v>
      </c>
      <c r="KU6" s="4">
        <v>6750</v>
      </c>
      <c r="KV6" s="4">
        <v>6750</v>
      </c>
      <c r="KW6" s="4">
        <f>SUM(KK6:KV6)</f>
        <v>81000</v>
      </c>
      <c r="KX6" s="4">
        <v>9363</v>
      </c>
      <c r="KY6" s="4">
        <v>9363</v>
      </c>
      <c r="KZ6" s="4">
        <v>9363</v>
      </c>
      <c r="LA6" s="4">
        <v>9363</v>
      </c>
      <c r="LB6" s="4">
        <v>9363</v>
      </c>
      <c r="LC6" s="4">
        <v>9363</v>
      </c>
      <c r="LD6" s="37">
        <f>2292+9744</f>
        <v>12036</v>
      </c>
      <c r="LE6" s="4">
        <v>9744</v>
      </c>
      <c r="LF6" s="4">
        <v>9744</v>
      </c>
      <c r="LG6" s="4">
        <v>9817</v>
      </c>
      <c r="LH6" s="4">
        <v>9817</v>
      </c>
      <c r="LI6" s="4">
        <v>9817</v>
      </c>
      <c r="LJ6" s="4">
        <f>SUM(KX6:LI6)</f>
        <v>117153</v>
      </c>
      <c r="LK6" s="4">
        <f>+KJ6+KW6+LJ6</f>
        <v>4102503</v>
      </c>
      <c r="LL6" s="4">
        <v>214390</v>
      </c>
      <c r="LM6" s="4">
        <v>214390</v>
      </c>
      <c r="LN6" s="4">
        <f>5250+245890</f>
        <v>251140</v>
      </c>
      <c r="LO6" s="4">
        <v>245890</v>
      </c>
      <c r="LP6" s="4">
        <v>214390</v>
      </c>
      <c r="LQ6" s="4">
        <v>214390</v>
      </c>
      <c r="LR6" s="37">
        <f>62400+224790</f>
        <v>287190</v>
      </c>
      <c r="LS6" s="4">
        <v>224790</v>
      </c>
      <c r="LT6" s="4">
        <v>224790</v>
      </c>
      <c r="LU6" s="4">
        <v>224790</v>
      </c>
      <c r="LV6" s="4">
        <v>224790</v>
      </c>
      <c r="LW6" s="4">
        <v>224790</v>
      </c>
      <c r="LX6" s="4">
        <f>SUM(LL6:LW6)</f>
        <v>2765730</v>
      </c>
      <c r="LY6" s="4">
        <v>5250</v>
      </c>
      <c r="LZ6" s="4">
        <v>5250</v>
      </c>
      <c r="MA6" s="4">
        <f>20+6000</f>
        <v>6020</v>
      </c>
      <c r="MB6" s="4">
        <v>6000</v>
      </c>
      <c r="MC6" s="4">
        <v>5250</v>
      </c>
      <c r="MD6" s="4">
        <v>5250</v>
      </c>
      <c r="ME6" s="4">
        <v>5250</v>
      </c>
      <c r="MF6" s="4">
        <v>5250</v>
      </c>
      <c r="MG6" s="4">
        <v>5250</v>
      </c>
      <c r="MH6" s="4">
        <v>5250</v>
      </c>
      <c r="MI6" s="4">
        <v>5250</v>
      </c>
      <c r="MJ6" s="4">
        <v>5250</v>
      </c>
      <c r="MK6" s="4">
        <f>SUM(LY6:MJ6)</f>
        <v>64520</v>
      </c>
      <c r="ML6" s="4">
        <v>3679</v>
      </c>
      <c r="MM6" s="4">
        <v>3679</v>
      </c>
      <c r="MN6" s="4">
        <v>4624</v>
      </c>
      <c r="MO6" s="4">
        <v>4624</v>
      </c>
      <c r="MP6" s="4">
        <v>3679</v>
      </c>
      <c r="MQ6" s="4">
        <v>3679</v>
      </c>
      <c r="MR6" s="37">
        <f>1104+3864</f>
        <v>4968</v>
      </c>
      <c r="MS6" s="4">
        <v>3864</v>
      </c>
      <c r="MT6" s="4">
        <v>3864</v>
      </c>
      <c r="MU6" s="4">
        <v>3864</v>
      </c>
      <c r="MV6" s="4">
        <v>3864</v>
      </c>
      <c r="MW6" s="4">
        <v>3864</v>
      </c>
      <c r="MX6" s="4">
        <f>SUM(ML6:MW6)</f>
        <v>48252</v>
      </c>
      <c r="MY6" s="4">
        <f>+LX6+MK6+MX6</f>
        <v>2878502</v>
      </c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>
        <f>SUM(MZ6:NK6)</f>
        <v>0</v>
      </c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>
        <f>SUM(NM6:NX6)</f>
        <v>0</v>
      </c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>
        <f>SUM(NZ6:OK6)</f>
        <v>0</v>
      </c>
      <c r="OM6" s="4">
        <f>+NL6+NY6+OL6</f>
        <v>0</v>
      </c>
      <c r="ON6" s="4">
        <v>15500</v>
      </c>
      <c r="OO6" s="4">
        <v>15500</v>
      </c>
      <c r="OP6" s="4">
        <v>15500</v>
      </c>
      <c r="OQ6" s="4">
        <v>15500</v>
      </c>
      <c r="OR6" s="4">
        <v>15500</v>
      </c>
      <c r="OS6" s="4">
        <v>15500</v>
      </c>
      <c r="OT6" s="4">
        <v>15500</v>
      </c>
      <c r="OU6" s="4">
        <v>15500</v>
      </c>
      <c r="OV6" s="4">
        <v>15500</v>
      </c>
      <c r="OW6" s="4">
        <v>15500</v>
      </c>
      <c r="OX6" s="4">
        <v>15500</v>
      </c>
      <c r="OY6" s="4">
        <v>15500</v>
      </c>
      <c r="OZ6" s="4">
        <f>SUM(ON6:OY6)</f>
        <v>186000</v>
      </c>
      <c r="PA6" s="4">
        <v>11200</v>
      </c>
      <c r="PB6" s="4">
        <v>11200</v>
      </c>
      <c r="PC6" s="4">
        <v>11200</v>
      </c>
      <c r="PD6" s="4">
        <v>11200</v>
      </c>
      <c r="PE6" s="4">
        <v>11200</v>
      </c>
      <c r="PF6" s="4">
        <v>11200</v>
      </c>
      <c r="PG6" s="4">
        <v>11200</v>
      </c>
      <c r="PH6" s="4">
        <v>11200</v>
      </c>
      <c r="PI6" s="4">
        <v>11200</v>
      </c>
      <c r="PJ6" s="4">
        <v>11200</v>
      </c>
      <c r="PK6" s="4">
        <v>11200</v>
      </c>
      <c r="PL6" s="4">
        <v>11200</v>
      </c>
      <c r="PM6" s="4">
        <f>SUM(PA6:PL6)</f>
        <v>134400</v>
      </c>
      <c r="PN6" s="4">
        <v>5600</v>
      </c>
      <c r="PO6" s="4">
        <v>5600</v>
      </c>
      <c r="PP6" s="4">
        <v>5600</v>
      </c>
      <c r="PQ6" s="4">
        <v>5600</v>
      </c>
      <c r="PR6" s="4">
        <v>5600</v>
      </c>
      <c r="PS6" s="4">
        <v>5600</v>
      </c>
      <c r="PT6" s="4">
        <v>5600</v>
      </c>
      <c r="PU6" s="4">
        <v>5600</v>
      </c>
      <c r="PV6" s="4">
        <v>5600</v>
      </c>
      <c r="PW6" s="4">
        <v>5600</v>
      </c>
      <c r="PX6" s="4">
        <v>5600</v>
      </c>
      <c r="PY6" s="4">
        <v>5600</v>
      </c>
      <c r="PZ6" s="4">
        <f>SUM(PN6:PY6)</f>
        <v>67200</v>
      </c>
      <c r="QA6" s="4"/>
      <c r="QB6" s="4"/>
      <c r="QC6" s="4">
        <f>82916.13+11200+5600</f>
        <v>99716.13</v>
      </c>
      <c r="QD6" s="4">
        <v>5600</v>
      </c>
      <c r="QE6" s="4">
        <v>5600</v>
      </c>
      <c r="QF6" s="4">
        <f>65754.84+28000+11200</f>
        <v>104954.84</v>
      </c>
      <c r="QG6" s="4">
        <v>11200</v>
      </c>
      <c r="QH6" s="4">
        <v>11200</v>
      </c>
      <c r="QI6" s="4">
        <v>11200</v>
      </c>
      <c r="QJ6" s="4">
        <v>11200</v>
      </c>
      <c r="QK6" s="4">
        <v>11200</v>
      </c>
      <c r="QL6" s="4">
        <v>11200</v>
      </c>
      <c r="QM6" s="4">
        <f>SUM(QA6:QL6)</f>
        <v>283070.96999999997</v>
      </c>
      <c r="QN6" s="4"/>
      <c r="QO6" s="4"/>
      <c r="QP6" s="4"/>
      <c r="QQ6" s="4"/>
      <c r="QR6" s="4"/>
      <c r="QS6" s="4"/>
      <c r="QT6" s="4"/>
      <c r="QU6" s="4">
        <f>96880+5600</f>
        <v>102480</v>
      </c>
      <c r="QV6" s="4">
        <v>5600</v>
      </c>
      <c r="QW6" s="4">
        <v>5600</v>
      </c>
      <c r="QX6" s="4">
        <v>5600</v>
      </c>
      <c r="QY6" s="4">
        <v>5600</v>
      </c>
      <c r="QZ6" s="4">
        <f>SUM(QN6:QY6)</f>
        <v>124880</v>
      </c>
      <c r="RA6" s="4">
        <f>+OZ6+PM6+PZ6+QM6+QZ6</f>
        <v>795550.97</v>
      </c>
      <c r="RB6" s="13">
        <f>+AQ6+CE6+DS6+FG6+GU6+II6+JW6+LK6+MY6+OM6+RA6</f>
        <v>30390075.199999999</v>
      </c>
    </row>
    <row r="7" spans="1:47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54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55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56">SUM(AD7:AO7)</f>
        <v>0</v>
      </c>
      <c r="AQ7" s="4">
        <f t="shared" ref="AQ7:AQ40" si="57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58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59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60">SUM(BR7:CC7)</f>
        <v>0</v>
      </c>
      <c r="CE7" s="4">
        <f t="shared" ref="CE7:CE40" si="61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62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63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64">SUM(DF7:DQ7)</f>
        <v>0</v>
      </c>
      <c r="DS7" s="4">
        <f t="shared" ref="DS7:DS40" si="65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66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67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68">SUM(ET7:FE7)</f>
        <v>0</v>
      </c>
      <c r="FG7" s="4">
        <f t="shared" ref="FG7:FG40" si="69">+EF7+ES7+FF7</f>
        <v>0</v>
      </c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>
        <f t="shared" ref="FT7:FT40" si="70">SUM(FH7:FS7)</f>
        <v>0</v>
      </c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f t="shared" ref="GG7:GG40" si="71">SUM(FU7:GF7)</f>
        <v>0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>
        <f t="shared" ref="GT7:GT40" si="72">SUM(GH7:GS7)</f>
        <v>0</v>
      </c>
      <c r="GU7" s="4">
        <f t="shared" ref="GU7:GU40" si="73">+FT7+GG7+GT7</f>
        <v>0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 t="shared" ref="HH7:HH40" si="74">SUM(GV7:HG7)</f>
        <v>0</v>
      </c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>
        <f t="shared" ref="HU7:HU40" si="75">SUM(HI7:HT7)</f>
        <v>0</v>
      </c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>
        <f t="shared" ref="IH7:IH40" si="76">SUM(HV7:IG7)</f>
        <v>0</v>
      </c>
      <c r="II7" s="4">
        <f t="shared" ref="II7:II40" si="77">+HH7+HU7+IH7</f>
        <v>0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78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79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80">SUM(JJ7:JU7)</f>
        <v>0</v>
      </c>
      <c r="JW7" s="4">
        <f t="shared" ref="JW7:JW40" si="81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82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83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84">SUM(KX7:LI7)</f>
        <v>0</v>
      </c>
      <c r="LK7" s="4">
        <f t="shared" ref="LK7:LK40" si="85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86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87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88">SUM(ML7:MW7)</f>
        <v>0</v>
      </c>
      <c r="MY7" s="4">
        <f t="shared" ref="MY7:MY40" si="89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 t="shared" ref="NL7:NL40" si="90">SUM(MZ7:NK7)</f>
        <v>0</v>
      </c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>
        <f t="shared" ref="NY7:NY40" si="91">SUM(NM7:NX7)</f>
        <v>0</v>
      </c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>
        <f t="shared" ref="OL7:OL40" si="92">SUM(NZ7:OK7)</f>
        <v>0</v>
      </c>
      <c r="OM7" s="4">
        <f t="shared" ref="OM7:OM40" si="93">+NL7+NY7+OL7</f>
        <v>0</v>
      </c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>
        <f t="shared" ref="OZ7:OZ40" si="94">SUM(ON7:OY7)</f>
        <v>0</v>
      </c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>
        <f t="shared" ref="PM7:PM40" si="95">SUM(PA7:PL7)</f>
        <v>0</v>
      </c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>
        <f t="shared" ref="PZ7:PZ39" si="96">SUM(PN7:PY7)</f>
        <v>0</v>
      </c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>
        <f t="shared" ref="QM7:QM39" si="97">SUM(QA7:QL7)</f>
        <v>0</v>
      </c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>
        <f t="shared" ref="QZ7:QZ39" si="98">SUM(QN7:QY7)</f>
        <v>0</v>
      </c>
      <c r="RA7" s="4">
        <f t="shared" ref="RA7:RA39" si="99">+OZ7+PM7+PZ7+QM7+QZ7</f>
        <v>0</v>
      </c>
      <c r="RB7" s="13">
        <f t="shared" ref="RB7:RB39" si="100">+AQ7+CE7+DS7+FG7+GU7+II7+JW7+LK7+MY7+OM7+RA7</f>
        <v>0</v>
      </c>
    </row>
    <row r="8" spans="1:47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54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55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56"/>
        <v>0</v>
      </c>
      <c r="AQ8" s="4">
        <f t="shared" si="57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58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59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60"/>
        <v>0</v>
      </c>
      <c r="CE8" s="4">
        <f t="shared" si="61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62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63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64"/>
        <v>0</v>
      </c>
      <c r="DS8" s="4">
        <f t="shared" si="65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66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67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68"/>
        <v>0</v>
      </c>
      <c r="FG8" s="4">
        <f t="shared" si="69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70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71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72"/>
        <v>0</v>
      </c>
      <c r="GU8" s="4">
        <f t="shared" si="73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74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75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76"/>
        <v>0</v>
      </c>
      <c r="II8" s="4">
        <f t="shared" si="77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78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79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80"/>
        <v>0</v>
      </c>
      <c r="JW8" s="4">
        <f t="shared" si="81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82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83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84"/>
        <v>0</v>
      </c>
      <c r="LK8" s="4">
        <f t="shared" si="85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86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87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88"/>
        <v>0</v>
      </c>
      <c r="MY8" s="4">
        <f t="shared" si="89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si="90"/>
        <v>0</v>
      </c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>
        <f t="shared" si="91"/>
        <v>0</v>
      </c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>
        <f t="shared" si="92"/>
        <v>0</v>
      </c>
      <c r="OM8" s="4">
        <f t="shared" si="93"/>
        <v>0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>
        <f t="shared" si="94"/>
        <v>0</v>
      </c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>
        <f t="shared" si="95"/>
        <v>0</v>
      </c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>
        <f t="shared" si="96"/>
        <v>0</v>
      </c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>
        <f t="shared" si="97"/>
        <v>0</v>
      </c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>
        <f t="shared" si="98"/>
        <v>0</v>
      </c>
      <c r="RA8" s="4">
        <f t="shared" si="99"/>
        <v>0</v>
      </c>
      <c r="RB8" s="13">
        <f t="shared" si="100"/>
        <v>0</v>
      </c>
    </row>
    <row r="9" spans="1:47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54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55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56"/>
        <v>0</v>
      </c>
      <c r="AQ9" s="4">
        <f t="shared" si="57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58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59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60"/>
        <v>0</v>
      </c>
      <c r="CE9" s="4">
        <f t="shared" si="61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62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63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64"/>
        <v>0</v>
      </c>
      <c r="DS9" s="4">
        <f t="shared" si="65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66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67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68"/>
        <v>0</v>
      </c>
      <c r="FG9" s="4">
        <f t="shared" si="69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70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71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72"/>
        <v>0</v>
      </c>
      <c r="GU9" s="4">
        <f t="shared" si="73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74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75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76"/>
        <v>0</v>
      </c>
      <c r="II9" s="4">
        <f t="shared" si="77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78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79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80"/>
        <v>0</v>
      </c>
      <c r="JW9" s="4">
        <f t="shared" si="81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82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83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84"/>
        <v>0</v>
      </c>
      <c r="LK9" s="4">
        <f t="shared" si="85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86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87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88"/>
        <v>0</v>
      </c>
      <c r="MY9" s="4">
        <f t="shared" si="89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90"/>
        <v>0</v>
      </c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>
        <f t="shared" si="91"/>
        <v>0</v>
      </c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>
        <f t="shared" si="92"/>
        <v>0</v>
      </c>
      <c r="OM9" s="4">
        <f t="shared" si="93"/>
        <v>0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>
        <f t="shared" si="94"/>
        <v>0</v>
      </c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>
        <f t="shared" si="95"/>
        <v>0</v>
      </c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>
        <f t="shared" si="96"/>
        <v>0</v>
      </c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>
        <f t="shared" si="97"/>
        <v>0</v>
      </c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f t="shared" si="98"/>
        <v>0</v>
      </c>
      <c r="RA9" s="4">
        <f t="shared" si="99"/>
        <v>0</v>
      </c>
      <c r="RB9" s="13">
        <f t="shared" si="100"/>
        <v>0</v>
      </c>
    </row>
    <row r="10" spans="1:471" x14ac:dyDescent="0.35">
      <c r="A10" s="5"/>
      <c r="B10" s="5" t="s">
        <v>9</v>
      </c>
      <c r="C10" s="5" t="s">
        <v>17</v>
      </c>
      <c r="D10" s="4">
        <v>20440</v>
      </c>
      <c r="E10" s="4">
        <v>20440</v>
      </c>
      <c r="F10" s="4">
        <v>20440</v>
      </c>
      <c r="G10" s="4">
        <v>20440</v>
      </c>
      <c r="H10" s="4">
        <v>20440</v>
      </c>
      <c r="I10" s="4">
        <v>20440</v>
      </c>
      <c r="J10" s="37">
        <f>6120+21460</f>
        <v>27580</v>
      </c>
      <c r="K10" s="4">
        <v>21460</v>
      </c>
      <c r="L10" s="4">
        <v>21460</v>
      </c>
      <c r="M10" s="4">
        <v>21460</v>
      </c>
      <c r="N10" s="4">
        <v>21460</v>
      </c>
      <c r="O10" s="4">
        <v>21460</v>
      </c>
      <c r="P10" s="4">
        <f t="shared" si="54"/>
        <v>257520</v>
      </c>
      <c r="Q10" s="4">
        <v>750</v>
      </c>
      <c r="R10" s="4">
        <v>750</v>
      </c>
      <c r="S10" s="4">
        <v>750</v>
      </c>
      <c r="T10" s="4">
        <v>750</v>
      </c>
      <c r="U10" s="4">
        <v>750</v>
      </c>
      <c r="V10" s="4">
        <v>750</v>
      </c>
      <c r="W10" s="4">
        <v>750</v>
      </c>
      <c r="X10" s="4">
        <v>750</v>
      </c>
      <c r="Y10" s="4">
        <v>750</v>
      </c>
      <c r="Z10" s="4">
        <v>750</v>
      </c>
      <c r="AA10" s="4">
        <v>750</v>
      </c>
      <c r="AB10" s="4">
        <v>750</v>
      </c>
      <c r="AC10" s="4">
        <f t="shared" si="55"/>
        <v>9000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f t="shared" si="56"/>
        <v>0</v>
      </c>
      <c r="AQ10" s="4">
        <f t="shared" si="57"/>
        <v>266520</v>
      </c>
      <c r="AR10" s="4">
        <v>24110</v>
      </c>
      <c r="AS10" s="4">
        <v>24110</v>
      </c>
      <c r="AT10" s="4">
        <v>24110</v>
      </c>
      <c r="AU10" s="4">
        <v>24110</v>
      </c>
      <c r="AV10" s="4">
        <v>24110</v>
      </c>
      <c r="AW10" s="4">
        <v>24110</v>
      </c>
      <c r="AX10" s="37">
        <f>7260+25320</f>
        <v>32580</v>
      </c>
      <c r="AY10" s="4">
        <v>25320</v>
      </c>
      <c r="AZ10" s="4">
        <v>25320</v>
      </c>
      <c r="BA10" s="4">
        <v>25320</v>
      </c>
      <c r="BB10" s="4">
        <v>25320</v>
      </c>
      <c r="BC10" s="4">
        <v>25320</v>
      </c>
      <c r="BD10" s="4">
        <f t="shared" si="58"/>
        <v>303840</v>
      </c>
      <c r="BE10" s="4">
        <v>750</v>
      </c>
      <c r="BF10" s="4">
        <v>750</v>
      </c>
      <c r="BG10" s="4">
        <v>750</v>
      </c>
      <c r="BH10" s="4">
        <v>750</v>
      </c>
      <c r="BI10" s="4">
        <v>750</v>
      </c>
      <c r="BJ10" s="4">
        <v>750</v>
      </c>
      <c r="BK10" s="4">
        <v>750</v>
      </c>
      <c r="BL10" s="4">
        <v>750</v>
      </c>
      <c r="BM10" s="4">
        <v>750</v>
      </c>
      <c r="BN10" s="4">
        <v>750</v>
      </c>
      <c r="BO10" s="4">
        <v>750</v>
      </c>
      <c r="BP10" s="4">
        <v>750</v>
      </c>
      <c r="BQ10" s="4">
        <f t="shared" si="59"/>
        <v>9000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f t="shared" si="60"/>
        <v>0</v>
      </c>
      <c r="CE10" s="4">
        <f t="shared" si="61"/>
        <v>312840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62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63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64"/>
        <v>0</v>
      </c>
      <c r="DS10" s="4">
        <f t="shared" si="65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66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67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68"/>
        <v>0</v>
      </c>
      <c r="FG10" s="4">
        <f t="shared" si="69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70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71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72"/>
        <v>0</v>
      </c>
      <c r="GU10" s="4">
        <f t="shared" si="73"/>
        <v>0</v>
      </c>
      <c r="GV10" s="4">
        <v>0</v>
      </c>
      <c r="GW10" s="4">
        <v>0</v>
      </c>
      <c r="GX10" s="4">
        <f>12350+19500</f>
        <v>31850</v>
      </c>
      <c r="GY10" s="4">
        <v>19500</v>
      </c>
      <c r="GZ10" s="4">
        <v>19500</v>
      </c>
      <c r="HA10" s="27">
        <v>19500</v>
      </c>
      <c r="HB10" s="4">
        <v>19500</v>
      </c>
      <c r="HC10" s="4">
        <v>19500</v>
      </c>
      <c r="HD10" s="4">
        <v>19500</v>
      </c>
      <c r="HE10" s="4">
        <v>19500</v>
      </c>
      <c r="HF10" s="4">
        <v>19500</v>
      </c>
      <c r="HG10" s="4">
        <v>19500</v>
      </c>
      <c r="HH10" s="4">
        <f t="shared" si="74"/>
        <v>207350</v>
      </c>
      <c r="HI10" s="4">
        <v>0</v>
      </c>
      <c r="HJ10" s="4">
        <v>0</v>
      </c>
      <c r="HK10" s="4">
        <f>618+750</f>
        <v>1368</v>
      </c>
      <c r="HL10" s="4">
        <v>750</v>
      </c>
      <c r="HM10" s="4">
        <v>750</v>
      </c>
      <c r="HN10" s="4">
        <v>750</v>
      </c>
      <c r="HO10" s="4">
        <v>750</v>
      </c>
      <c r="HP10" s="4">
        <v>750</v>
      </c>
      <c r="HQ10" s="4">
        <v>750</v>
      </c>
      <c r="HR10" s="4">
        <v>750</v>
      </c>
      <c r="HS10" s="4">
        <v>750</v>
      </c>
      <c r="HT10" s="4">
        <v>750</v>
      </c>
      <c r="HU10" s="4">
        <f t="shared" si="75"/>
        <v>8118</v>
      </c>
      <c r="HV10" s="4">
        <v>0</v>
      </c>
      <c r="HW10" s="4">
        <v>0</v>
      </c>
      <c r="HX10" s="4">
        <v>0</v>
      </c>
      <c r="HY10" s="4">
        <v>0</v>
      </c>
      <c r="HZ10" s="4">
        <v>0</v>
      </c>
      <c r="IA10" s="4">
        <v>0</v>
      </c>
      <c r="IB10" s="4">
        <v>0</v>
      </c>
      <c r="IC10" s="4">
        <v>0</v>
      </c>
      <c r="ID10" s="4">
        <v>0</v>
      </c>
      <c r="IE10" s="4">
        <v>0</v>
      </c>
      <c r="IF10" s="4">
        <v>0</v>
      </c>
      <c r="IG10" s="4">
        <v>0</v>
      </c>
      <c r="IH10" s="4">
        <f t="shared" si="76"/>
        <v>0</v>
      </c>
      <c r="II10" s="4">
        <f t="shared" si="77"/>
        <v>215468</v>
      </c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>
        <f t="shared" si="78"/>
        <v>0</v>
      </c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f t="shared" si="79"/>
        <v>0</v>
      </c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>
        <f t="shared" si="80"/>
        <v>0</v>
      </c>
      <c r="JW10" s="4">
        <f t="shared" si="81"/>
        <v>0</v>
      </c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>
        <f t="shared" si="82"/>
        <v>0</v>
      </c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>
        <f t="shared" si="83"/>
        <v>0</v>
      </c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>
        <f t="shared" si="84"/>
        <v>0</v>
      </c>
      <c r="LK10" s="4">
        <f t="shared" si="85"/>
        <v>0</v>
      </c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>
        <f t="shared" si="86"/>
        <v>0</v>
      </c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>
        <f t="shared" si="87"/>
        <v>0</v>
      </c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>
        <f t="shared" si="88"/>
        <v>0</v>
      </c>
      <c r="MY10" s="4">
        <f t="shared" si="89"/>
        <v>0</v>
      </c>
      <c r="MZ10" s="4">
        <v>145130</v>
      </c>
      <c r="NA10" s="4">
        <v>145130</v>
      </c>
      <c r="NB10" s="4">
        <v>145130</v>
      </c>
      <c r="NC10" s="4">
        <v>145130</v>
      </c>
      <c r="ND10" s="4">
        <v>145130</v>
      </c>
      <c r="NE10" s="4">
        <v>145130</v>
      </c>
      <c r="NF10" s="37">
        <f>43740+152420</f>
        <v>196160</v>
      </c>
      <c r="NG10" s="4">
        <v>152420</v>
      </c>
      <c r="NH10" s="4">
        <v>152420</v>
      </c>
      <c r="NI10" s="4">
        <v>152420</v>
      </c>
      <c r="NJ10" s="4">
        <v>152420</v>
      </c>
      <c r="NK10" s="4">
        <v>152420</v>
      </c>
      <c r="NL10" s="4">
        <f t="shared" si="90"/>
        <v>1829040</v>
      </c>
      <c r="NM10" s="4">
        <v>4500</v>
      </c>
      <c r="NN10" s="4">
        <v>4500</v>
      </c>
      <c r="NO10" s="4">
        <v>4500</v>
      </c>
      <c r="NP10" s="4">
        <v>4500</v>
      </c>
      <c r="NQ10" s="4">
        <v>4500</v>
      </c>
      <c r="NR10" s="4">
        <v>4500</v>
      </c>
      <c r="NS10" s="4">
        <v>4500</v>
      </c>
      <c r="NT10" s="4">
        <v>4500</v>
      </c>
      <c r="NU10" s="4">
        <v>4500</v>
      </c>
      <c r="NV10" s="4">
        <v>4500</v>
      </c>
      <c r="NW10" s="4">
        <v>4500</v>
      </c>
      <c r="NX10" s="4">
        <v>4500</v>
      </c>
      <c r="NY10" s="4">
        <f t="shared" si="91"/>
        <v>54000</v>
      </c>
      <c r="NZ10" s="4">
        <v>3621</v>
      </c>
      <c r="OA10" s="4">
        <v>3621</v>
      </c>
      <c r="OB10" s="4">
        <v>3621</v>
      </c>
      <c r="OC10" s="4">
        <v>3621</v>
      </c>
      <c r="OD10" s="4">
        <v>3621</v>
      </c>
      <c r="OE10" s="4">
        <v>3621</v>
      </c>
      <c r="OF10" s="37">
        <f>1092+3803</f>
        <v>4895</v>
      </c>
      <c r="OG10" s="4">
        <v>3803</v>
      </c>
      <c r="OH10" s="4">
        <v>3803</v>
      </c>
      <c r="OI10" s="4">
        <v>3803</v>
      </c>
      <c r="OJ10" s="4">
        <v>3803</v>
      </c>
      <c r="OK10" s="4">
        <v>3803</v>
      </c>
      <c r="OL10" s="4">
        <f t="shared" si="92"/>
        <v>45636</v>
      </c>
      <c r="OM10" s="4">
        <f t="shared" si="93"/>
        <v>1928676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>
        <f t="shared" si="94"/>
        <v>0</v>
      </c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>
        <f t="shared" si="95"/>
        <v>0</v>
      </c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>
        <f t="shared" si="96"/>
        <v>0</v>
      </c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>
        <f t="shared" si="97"/>
        <v>0</v>
      </c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>
        <f t="shared" si="98"/>
        <v>0</v>
      </c>
      <c r="RA10" s="4">
        <f t="shared" si="99"/>
        <v>0</v>
      </c>
      <c r="RB10" s="13">
        <f t="shared" si="100"/>
        <v>2723504</v>
      </c>
    </row>
    <row r="11" spans="1:47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54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55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56"/>
        <v>0</v>
      </c>
      <c r="AQ11" s="4">
        <f t="shared" si="57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58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59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60"/>
        <v>0</v>
      </c>
      <c r="CE11" s="4">
        <f t="shared" si="61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62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63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64"/>
        <v>0</v>
      </c>
      <c r="DS11" s="4">
        <f t="shared" si="65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66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67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68"/>
        <v>0</v>
      </c>
      <c r="FG11" s="4">
        <f t="shared" si="69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70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71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72"/>
        <v>0</v>
      </c>
      <c r="GU11" s="4">
        <f t="shared" si="73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74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75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76"/>
        <v>0</v>
      </c>
      <c r="II11" s="4">
        <f t="shared" si="77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78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79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80"/>
        <v>0</v>
      </c>
      <c r="JW11" s="4">
        <f t="shared" si="81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82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83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84"/>
        <v>0</v>
      </c>
      <c r="LK11" s="4">
        <f t="shared" si="85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86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87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88"/>
        <v>0</v>
      </c>
      <c r="MY11" s="4">
        <f t="shared" si="89"/>
        <v>0</v>
      </c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>
        <f t="shared" si="90"/>
        <v>0</v>
      </c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>
        <f t="shared" si="91"/>
        <v>0</v>
      </c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>
        <f t="shared" si="92"/>
        <v>0</v>
      </c>
      <c r="OM11" s="4">
        <f t="shared" si="93"/>
        <v>0</v>
      </c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>
        <f t="shared" si="94"/>
        <v>0</v>
      </c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>
        <f t="shared" si="95"/>
        <v>0</v>
      </c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>
        <f t="shared" si="96"/>
        <v>0</v>
      </c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>
        <f t="shared" si="97"/>
        <v>0</v>
      </c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>
        <f t="shared" si="98"/>
        <v>0</v>
      </c>
      <c r="RA11" s="4">
        <f t="shared" si="99"/>
        <v>0</v>
      </c>
      <c r="RB11" s="13">
        <f t="shared" si="100"/>
        <v>0</v>
      </c>
    </row>
    <row r="12" spans="1:47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54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55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56"/>
        <v>0</v>
      </c>
      <c r="AQ12" s="4">
        <f t="shared" si="57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58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59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60"/>
        <v>0</v>
      </c>
      <c r="CE12" s="4">
        <f t="shared" si="61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62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63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64"/>
        <v>0</v>
      </c>
      <c r="DS12" s="4">
        <f t="shared" si="65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66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67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68"/>
        <v>0</v>
      </c>
      <c r="FG12" s="4">
        <f t="shared" si="69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70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71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72"/>
        <v>0</v>
      </c>
      <c r="GU12" s="4">
        <f t="shared" si="73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74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75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76"/>
        <v>0</v>
      </c>
      <c r="II12" s="4">
        <f t="shared" si="77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78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79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80"/>
        <v>0</v>
      </c>
      <c r="JW12" s="4">
        <f t="shared" si="81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82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83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84"/>
        <v>0</v>
      </c>
      <c r="LK12" s="4">
        <f t="shared" si="85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86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87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88"/>
        <v>0</v>
      </c>
      <c r="MY12" s="4">
        <f t="shared" si="89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90"/>
        <v>0</v>
      </c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>
        <f t="shared" si="91"/>
        <v>0</v>
      </c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>
        <f t="shared" si="92"/>
        <v>0</v>
      </c>
      <c r="OM12" s="4">
        <f t="shared" si="93"/>
        <v>0</v>
      </c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f t="shared" si="94"/>
        <v>0</v>
      </c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>
        <f t="shared" si="95"/>
        <v>0</v>
      </c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>
        <f t="shared" si="96"/>
        <v>0</v>
      </c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>
        <f t="shared" si="97"/>
        <v>0</v>
      </c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>
        <f t="shared" si="98"/>
        <v>0</v>
      </c>
      <c r="RA12" s="4">
        <f t="shared" si="99"/>
        <v>0</v>
      </c>
      <c r="RB12" s="13">
        <f t="shared" si="100"/>
        <v>0</v>
      </c>
    </row>
    <row r="13" spans="1:47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54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55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56"/>
        <v>0</v>
      </c>
      <c r="AQ13" s="4">
        <f t="shared" si="57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58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59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60"/>
        <v>0</v>
      </c>
      <c r="CE13" s="4">
        <f t="shared" si="61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62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63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64"/>
        <v>0</v>
      </c>
      <c r="DS13" s="4">
        <f t="shared" si="65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66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67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68"/>
        <v>0</v>
      </c>
      <c r="FG13" s="4">
        <f t="shared" si="69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70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71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72"/>
        <v>0</v>
      </c>
      <c r="GU13" s="4">
        <f t="shared" si="73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74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75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76"/>
        <v>0</v>
      </c>
      <c r="II13" s="4">
        <f t="shared" si="77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78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79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80"/>
        <v>0</v>
      </c>
      <c r="JW13" s="4">
        <f t="shared" si="81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82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83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84"/>
        <v>0</v>
      </c>
      <c r="LK13" s="4">
        <f t="shared" si="85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86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87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88"/>
        <v>0</v>
      </c>
      <c r="MY13" s="4">
        <f t="shared" si="89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90"/>
        <v>0</v>
      </c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>
        <f t="shared" si="91"/>
        <v>0</v>
      </c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>
        <f t="shared" si="92"/>
        <v>0</v>
      </c>
      <c r="OM13" s="4">
        <f t="shared" si="93"/>
        <v>0</v>
      </c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>
        <f t="shared" si="94"/>
        <v>0</v>
      </c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>
        <f t="shared" si="95"/>
        <v>0</v>
      </c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>
        <f t="shared" si="96"/>
        <v>0</v>
      </c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>
        <f t="shared" si="97"/>
        <v>0</v>
      </c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>
        <f t="shared" si="98"/>
        <v>0</v>
      </c>
      <c r="RA13" s="4">
        <f t="shared" si="99"/>
        <v>0</v>
      </c>
      <c r="RB13" s="13">
        <f t="shared" si="100"/>
        <v>0</v>
      </c>
      <c r="RC13" s="84">
        <f>SUM(RB6:RB13)</f>
        <v>33113579.199999999</v>
      </c>
    </row>
    <row r="14" spans="1:47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54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55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56"/>
        <v>0</v>
      </c>
      <c r="AQ14" s="4">
        <f t="shared" si="57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58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59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60"/>
        <v>0</v>
      </c>
      <c r="CE14" s="4">
        <f t="shared" si="61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62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63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64"/>
        <v>0</v>
      </c>
      <c r="DS14" s="4">
        <f t="shared" si="65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66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67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68"/>
        <v>0</v>
      </c>
      <c r="FG14" s="4">
        <f t="shared" si="69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70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71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72"/>
        <v>0</v>
      </c>
      <c r="GU14" s="4">
        <f t="shared" si="73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74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75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76"/>
        <v>0</v>
      </c>
      <c r="II14" s="4">
        <f t="shared" si="77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78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79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80"/>
        <v>0</v>
      </c>
      <c r="JW14" s="4">
        <f t="shared" si="81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82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83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84"/>
        <v>0</v>
      </c>
      <c r="LK14" s="4">
        <f t="shared" si="85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86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87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88"/>
        <v>0</v>
      </c>
      <c r="MY14" s="4">
        <f t="shared" si="89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90"/>
        <v>0</v>
      </c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>
        <f t="shared" si="91"/>
        <v>0</v>
      </c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>
        <f t="shared" si="92"/>
        <v>0</v>
      </c>
      <c r="OM14" s="4">
        <f t="shared" si="93"/>
        <v>0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>
        <f t="shared" si="94"/>
        <v>0</v>
      </c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>
        <f t="shared" si="95"/>
        <v>0</v>
      </c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>
        <f t="shared" si="96"/>
        <v>0</v>
      </c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>
        <f t="shared" si="97"/>
        <v>0</v>
      </c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>
        <f t="shared" si="98"/>
        <v>0</v>
      </c>
      <c r="RA14" s="4">
        <f t="shared" si="99"/>
        <v>0</v>
      </c>
      <c r="RB14" s="13">
        <f t="shared" si="100"/>
        <v>0</v>
      </c>
    </row>
    <row r="15" spans="1:47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54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55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56"/>
        <v>0</v>
      </c>
      <c r="AQ15" s="4">
        <f t="shared" si="57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58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59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60"/>
        <v>0</v>
      </c>
      <c r="CE15" s="4">
        <f t="shared" si="61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62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63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64"/>
        <v>0</v>
      </c>
      <c r="DS15" s="4">
        <f t="shared" si="65"/>
        <v>0</v>
      </c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>
        <f t="shared" si="66"/>
        <v>0</v>
      </c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>
        <f t="shared" si="67"/>
        <v>0</v>
      </c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>
        <f t="shared" si="68"/>
        <v>0</v>
      </c>
      <c r="FG15" s="4">
        <f t="shared" si="69"/>
        <v>0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70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71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72"/>
        <v>0</v>
      </c>
      <c r="GU15" s="4">
        <f t="shared" si="73"/>
        <v>0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74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75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76"/>
        <v>0</v>
      </c>
      <c r="II15" s="4">
        <f t="shared" si="77"/>
        <v>0</v>
      </c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>
        <f t="shared" si="78"/>
        <v>0</v>
      </c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f t="shared" si="79"/>
        <v>0</v>
      </c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>
        <f t="shared" si="80"/>
        <v>0</v>
      </c>
      <c r="JW15" s="4">
        <f t="shared" si="81"/>
        <v>0</v>
      </c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>
        <f t="shared" si="82"/>
        <v>0</v>
      </c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>
        <f t="shared" si="83"/>
        <v>0</v>
      </c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>
        <f t="shared" si="84"/>
        <v>0</v>
      </c>
      <c r="LK15" s="4">
        <f t="shared" si="85"/>
        <v>0</v>
      </c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>
        <f t="shared" si="86"/>
        <v>0</v>
      </c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>
        <f t="shared" si="87"/>
        <v>0</v>
      </c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>
        <f t="shared" si="88"/>
        <v>0</v>
      </c>
      <c r="MY15" s="4">
        <f t="shared" si="89"/>
        <v>0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90"/>
        <v>0</v>
      </c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>
        <f t="shared" si="91"/>
        <v>0</v>
      </c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>
        <f t="shared" si="92"/>
        <v>0</v>
      </c>
      <c r="OM15" s="4">
        <f t="shared" si="93"/>
        <v>0</v>
      </c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>
        <f t="shared" si="94"/>
        <v>0</v>
      </c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>
        <f t="shared" si="95"/>
        <v>0</v>
      </c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>
        <f t="shared" si="96"/>
        <v>0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>
        <f t="shared" si="97"/>
        <v>0</v>
      </c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>
        <f t="shared" si="98"/>
        <v>0</v>
      </c>
      <c r="RA15" s="4">
        <f t="shared" si="99"/>
        <v>0</v>
      </c>
      <c r="RB15" s="13">
        <f t="shared" si="100"/>
        <v>0</v>
      </c>
    </row>
    <row r="16" spans="1:47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54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55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56"/>
        <v>0</v>
      </c>
      <c r="AQ16" s="4">
        <f t="shared" si="57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58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59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60"/>
        <v>0</v>
      </c>
      <c r="CE16" s="4">
        <f t="shared" si="61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62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63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64"/>
        <v>0</v>
      </c>
      <c r="DS16" s="4">
        <f t="shared" si="65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66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67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68"/>
        <v>0</v>
      </c>
      <c r="FG16" s="4">
        <f t="shared" si="69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70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71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72"/>
        <v>0</v>
      </c>
      <c r="GU16" s="4">
        <f t="shared" si="73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74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75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76"/>
        <v>0</v>
      </c>
      <c r="II16" s="4">
        <f t="shared" si="77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78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79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80"/>
        <v>0</v>
      </c>
      <c r="JW16" s="4">
        <f t="shared" si="81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82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83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84"/>
        <v>0</v>
      </c>
      <c r="LK16" s="4">
        <f t="shared" si="85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86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87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88"/>
        <v>0</v>
      </c>
      <c r="MY16" s="4">
        <f t="shared" si="89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90"/>
        <v>0</v>
      </c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>
        <f t="shared" si="91"/>
        <v>0</v>
      </c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>
        <f t="shared" si="92"/>
        <v>0</v>
      </c>
      <c r="OM16" s="4">
        <f t="shared" si="93"/>
        <v>0</v>
      </c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>
        <f t="shared" si="94"/>
        <v>0</v>
      </c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>
        <f t="shared" si="95"/>
        <v>0</v>
      </c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>
        <f t="shared" si="96"/>
        <v>0</v>
      </c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>
        <f t="shared" si="97"/>
        <v>0</v>
      </c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>
        <f t="shared" si="98"/>
        <v>0</v>
      </c>
      <c r="RA16" s="4">
        <f t="shared" si="99"/>
        <v>0</v>
      </c>
      <c r="RB16" s="13">
        <f t="shared" si="100"/>
        <v>0</v>
      </c>
    </row>
    <row r="17" spans="1:47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54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55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56"/>
        <v>0</v>
      </c>
      <c r="AQ17" s="4">
        <f t="shared" si="57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58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59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60"/>
        <v>0</v>
      </c>
      <c r="CE17" s="4">
        <f t="shared" si="61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62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63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64"/>
        <v>0</v>
      </c>
      <c r="DS17" s="4">
        <f t="shared" si="65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66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67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68"/>
        <v>0</v>
      </c>
      <c r="FG17" s="4">
        <f t="shared" si="69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70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71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72"/>
        <v>0</v>
      </c>
      <c r="GU17" s="4">
        <f t="shared" si="73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74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75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76"/>
        <v>0</v>
      </c>
      <c r="II17" s="4">
        <f t="shared" si="77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78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79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80"/>
        <v>0</v>
      </c>
      <c r="JW17" s="4">
        <f t="shared" si="81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82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83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84"/>
        <v>0</v>
      </c>
      <c r="LK17" s="4">
        <f t="shared" si="85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86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87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88"/>
        <v>0</v>
      </c>
      <c r="MY17" s="4">
        <f t="shared" si="89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90"/>
        <v>0</v>
      </c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>
        <f t="shared" si="91"/>
        <v>0</v>
      </c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>
        <f t="shared" si="92"/>
        <v>0</v>
      </c>
      <c r="OM17" s="4">
        <f t="shared" si="93"/>
        <v>0</v>
      </c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>
        <f t="shared" si="94"/>
        <v>0</v>
      </c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>
        <f t="shared" si="95"/>
        <v>0</v>
      </c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>
        <f t="shared" si="96"/>
        <v>0</v>
      </c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>
        <f t="shared" si="97"/>
        <v>0</v>
      </c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>
        <f t="shared" si="98"/>
        <v>0</v>
      </c>
      <c r="RA17" s="4">
        <f t="shared" si="99"/>
        <v>0</v>
      </c>
      <c r="RB17" s="13">
        <f t="shared" si="100"/>
        <v>0</v>
      </c>
    </row>
    <row r="18" spans="1:47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54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55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56"/>
        <v>0</v>
      </c>
      <c r="AQ18" s="4">
        <f t="shared" si="57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58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59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60"/>
        <v>0</v>
      </c>
      <c r="CE18" s="4">
        <f t="shared" si="61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62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63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64"/>
        <v>0</v>
      </c>
      <c r="DS18" s="4">
        <f t="shared" si="65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66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67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68"/>
        <v>0</v>
      </c>
      <c r="FG18" s="4">
        <f t="shared" si="69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70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71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72"/>
        <v>0</v>
      </c>
      <c r="GU18" s="4">
        <f t="shared" si="73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74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75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76"/>
        <v>0</v>
      </c>
      <c r="II18" s="4">
        <f t="shared" si="77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78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79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80"/>
        <v>0</v>
      </c>
      <c r="JW18" s="4">
        <f t="shared" si="81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82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83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84"/>
        <v>0</v>
      </c>
      <c r="LK18" s="4">
        <f t="shared" si="85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86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87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88"/>
        <v>0</v>
      </c>
      <c r="MY18" s="4">
        <f t="shared" si="89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90"/>
        <v>0</v>
      </c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>
        <f t="shared" si="91"/>
        <v>0</v>
      </c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>
        <f t="shared" si="92"/>
        <v>0</v>
      </c>
      <c r="OM18" s="4">
        <f t="shared" si="93"/>
        <v>0</v>
      </c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>
        <f t="shared" si="94"/>
        <v>0</v>
      </c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>
        <f t="shared" si="95"/>
        <v>0</v>
      </c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>
        <f t="shared" si="96"/>
        <v>0</v>
      </c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>
        <f t="shared" si="97"/>
        <v>0</v>
      </c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>
        <f t="shared" si="98"/>
        <v>0</v>
      </c>
      <c r="RA18" s="4">
        <f t="shared" si="99"/>
        <v>0</v>
      </c>
      <c r="RB18" s="13">
        <f t="shared" si="100"/>
        <v>0</v>
      </c>
    </row>
    <row r="19" spans="1:47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54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55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56"/>
        <v>0</v>
      </c>
      <c r="AQ19" s="4">
        <f t="shared" si="57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58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59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60"/>
        <v>0</v>
      </c>
      <c r="CE19" s="4">
        <f t="shared" si="61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62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63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64"/>
        <v>0</v>
      </c>
      <c r="DS19" s="4">
        <f t="shared" si="65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66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67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68"/>
        <v>0</v>
      </c>
      <c r="FG19" s="4">
        <f t="shared" si="69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70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71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72"/>
        <v>0</v>
      </c>
      <c r="GU19" s="4">
        <f t="shared" si="73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74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75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76"/>
        <v>0</v>
      </c>
      <c r="II19" s="4">
        <f t="shared" si="77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78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79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80"/>
        <v>0</v>
      </c>
      <c r="JW19" s="4">
        <f t="shared" si="81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82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83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84"/>
        <v>0</v>
      </c>
      <c r="LK19" s="4">
        <f t="shared" si="85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86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87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88"/>
        <v>0</v>
      </c>
      <c r="MY19" s="4">
        <f t="shared" si="89"/>
        <v>0</v>
      </c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>
        <f t="shared" si="90"/>
        <v>0</v>
      </c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>
        <f t="shared" si="91"/>
        <v>0</v>
      </c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>
        <f t="shared" si="92"/>
        <v>0</v>
      </c>
      <c r="OM19" s="4">
        <f t="shared" si="93"/>
        <v>0</v>
      </c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>
        <f t="shared" si="94"/>
        <v>0</v>
      </c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>
        <f t="shared" si="95"/>
        <v>0</v>
      </c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>
        <f t="shared" si="96"/>
        <v>0</v>
      </c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>
        <f t="shared" si="97"/>
        <v>0</v>
      </c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>
        <f t="shared" si="98"/>
        <v>0</v>
      </c>
      <c r="RA19" s="4">
        <f t="shared" si="99"/>
        <v>0</v>
      </c>
      <c r="RB19" s="13">
        <f t="shared" si="100"/>
        <v>0</v>
      </c>
    </row>
    <row r="20" spans="1:47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54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55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56"/>
        <v>0</v>
      </c>
      <c r="AQ20" s="4">
        <f t="shared" si="57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58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59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60"/>
        <v>0</v>
      </c>
      <c r="CE20" s="4">
        <f t="shared" si="61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62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63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64"/>
        <v>0</v>
      </c>
      <c r="DS20" s="4">
        <f t="shared" si="65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66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67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68"/>
        <v>0</v>
      </c>
      <c r="FG20" s="4">
        <f t="shared" si="69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70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71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72"/>
        <v>0</v>
      </c>
      <c r="GU20" s="4">
        <f t="shared" si="73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74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75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76"/>
        <v>0</v>
      </c>
      <c r="II20" s="4">
        <f t="shared" si="77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78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79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80"/>
        <v>0</v>
      </c>
      <c r="JW20" s="4">
        <f t="shared" si="81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82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83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84"/>
        <v>0</v>
      </c>
      <c r="LK20" s="4">
        <f t="shared" si="85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86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87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88"/>
        <v>0</v>
      </c>
      <c r="MY20" s="4">
        <f t="shared" si="89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90"/>
        <v>0</v>
      </c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>
        <f t="shared" si="91"/>
        <v>0</v>
      </c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>
        <f t="shared" si="92"/>
        <v>0</v>
      </c>
      <c r="OM20" s="4">
        <f t="shared" si="93"/>
        <v>0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>
        <f t="shared" si="94"/>
        <v>0</v>
      </c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>
        <f t="shared" si="95"/>
        <v>0</v>
      </c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>
        <f t="shared" si="96"/>
        <v>0</v>
      </c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>
        <f t="shared" si="97"/>
        <v>0</v>
      </c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>
        <f t="shared" si="98"/>
        <v>0</v>
      </c>
      <c r="RA20" s="4">
        <f t="shared" si="99"/>
        <v>0</v>
      </c>
      <c r="RB20" s="13">
        <f t="shared" si="100"/>
        <v>0</v>
      </c>
    </row>
    <row r="21" spans="1:47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54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55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56"/>
        <v>0</v>
      </c>
      <c r="AQ21" s="4">
        <f t="shared" si="57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58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59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60"/>
        <v>0</v>
      </c>
      <c r="CE21" s="4">
        <f t="shared" si="61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62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63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64"/>
        <v>0</v>
      </c>
      <c r="DS21" s="4">
        <f t="shared" si="65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66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67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68"/>
        <v>0</v>
      </c>
      <c r="FG21" s="4">
        <f t="shared" si="69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70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71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72"/>
        <v>0</v>
      </c>
      <c r="GU21" s="4">
        <f t="shared" si="73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74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75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76"/>
        <v>0</v>
      </c>
      <c r="II21" s="4">
        <f t="shared" si="77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78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79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80"/>
        <v>0</v>
      </c>
      <c r="JW21" s="4">
        <f t="shared" si="81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82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83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84"/>
        <v>0</v>
      </c>
      <c r="LK21" s="4">
        <f t="shared" si="85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86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87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88"/>
        <v>0</v>
      </c>
      <c r="MY21" s="4">
        <f t="shared" si="89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90"/>
        <v>0</v>
      </c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>
        <f t="shared" si="91"/>
        <v>0</v>
      </c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>
        <f t="shared" si="92"/>
        <v>0</v>
      </c>
      <c r="OM21" s="4">
        <f t="shared" si="93"/>
        <v>0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>
        <f t="shared" si="94"/>
        <v>0</v>
      </c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>
        <f t="shared" si="95"/>
        <v>0</v>
      </c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>
        <f t="shared" si="96"/>
        <v>0</v>
      </c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>
        <f t="shared" si="97"/>
        <v>0</v>
      </c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>
        <f t="shared" si="98"/>
        <v>0</v>
      </c>
      <c r="RA21" s="4">
        <f t="shared" si="99"/>
        <v>0</v>
      </c>
      <c r="RB21" s="13">
        <f t="shared" si="100"/>
        <v>0</v>
      </c>
      <c r="RC21" s="84">
        <f>SUM(RB14:RB21)</f>
        <v>0</v>
      </c>
    </row>
    <row r="22" spans="1:471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54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55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56"/>
        <v>0</v>
      </c>
      <c r="AQ22" s="4">
        <f t="shared" si="57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58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59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60"/>
        <v>0</v>
      </c>
      <c r="CE22" s="4">
        <f t="shared" si="61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62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63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64"/>
        <v>0</v>
      </c>
      <c r="DS22" s="4">
        <f t="shared" si="65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66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67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68"/>
        <v>0</v>
      </c>
      <c r="FG22" s="4">
        <f t="shared" si="69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70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71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72"/>
        <v>0</v>
      </c>
      <c r="GU22" s="4">
        <f t="shared" si="73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74"/>
        <v>0</v>
      </c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>
        <f t="shared" si="75"/>
        <v>0</v>
      </c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>
        <f t="shared" si="76"/>
        <v>0</v>
      </c>
      <c r="II22" s="4">
        <f t="shared" si="77"/>
        <v>0</v>
      </c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>
        <f t="shared" si="78"/>
        <v>0</v>
      </c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f t="shared" si="79"/>
        <v>0</v>
      </c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>
        <f t="shared" si="80"/>
        <v>0</v>
      </c>
      <c r="JW22" s="4">
        <f t="shared" si="81"/>
        <v>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82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83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84"/>
        <v>0</v>
      </c>
      <c r="LK22" s="4">
        <f t="shared" si="85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86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87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88"/>
        <v>0</v>
      </c>
      <c r="MY22" s="4">
        <f t="shared" si="89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90"/>
        <v>0</v>
      </c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>
        <f t="shared" si="91"/>
        <v>0</v>
      </c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>
        <f t="shared" si="92"/>
        <v>0</v>
      </c>
      <c r="OM22" s="4">
        <f t="shared" si="93"/>
        <v>0</v>
      </c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>
        <f t="shared" si="94"/>
        <v>0</v>
      </c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>
        <f t="shared" si="95"/>
        <v>0</v>
      </c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>
        <f t="shared" si="96"/>
        <v>0</v>
      </c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>
        <f t="shared" si="97"/>
        <v>0</v>
      </c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>
        <f t="shared" si="98"/>
        <v>0</v>
      </c>
      <c r="RA22" s="4">
        <f t="shared" si="99"/>
        <v>0</v>
      </c>
      <c r="RB22" s="13">
        <f t="shared" si="100"/>
        <v>0</v>
      </c>
    </row>
    <row r="23" spans="1:471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54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55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56"/>
        <v>0</v>
      </c>
      <c r="AQ23" s="4">
        <f t="shared" si="57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58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59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60"/>
        <v>0</v>
      </c>
      <c r="CE23" s="4">
        <f t="shared" si="61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62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63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64"/>
        <v>0</v>
      </c>
      <c r="DS23" s="4">
        <f t="shared" si="65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66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67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68"/>
        <v>0</v>
      </c>
      <c r="FG23" s="4">
        <f t="shared" si="69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70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71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72"/>
        <v>0</v>
      </c>
      <c r="GU23" s="4">
        <f t="shared" si="73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74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75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76"/>
        <v>0</v>
      </c>
      <c r="II23" s="4">
        <f t="shared" si="77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78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79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80"/>
        <v>0</v>
      </c>
      <c r="JW23" s="4">
        <f t="shared" si="81"/>
        <v>0</v>
      </c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>
        <f t="shared" si="82"/>
        <v>0</v>
      </c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>
        <f t="shared" si="83"/>
        <v>0</v>
      </c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>
        <f t="shared" si="84"/>
        <v>0</v>
      </c>
      <c r="LK23" s="4">
        <f t="shared" si="85"/>
        <v>0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>
        <f t="shared" si="86"/>
        <v>0</v>
      </c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>
        <f t="shared" si="87"/>
        <v>0</v>
      </c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>
        <f t="shared" si="88"/>
        <v>0</v>
      </c>
      <c r="MY23" s="4">
        <f t="shared" si="89"/>
        <v>0</v>
      </c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>
        <f t="shared" si="90"/>
        <v>0</v>
      </c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>
        <f t="shared" si="91"/>
        <v>0</v>
      </c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>
        <f t="shared" si="92"/>
        <v>0</v>
      </c>
      <c r="OM23" s="4">
        <f t="shared" si="93"/>
        <v>0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>
        <f t="shared" si="94"/>
        <v>0</v>
      </c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>
        <f t="shared" si="95"/>
        <v>0</v>
      </c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>
        <f t="shared" si="96"/>
        <v>0</v>
      </c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>
        <f t="shared" si="97"/>
        <v>0</v>
      </c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>
        <f t="shared" si="98"/>
        <v>0</v>
      </c>
      <c r="RA23" s="4">
        <f t="shared" si="99"/>
        <v>0</v>
      </c>
      <c r="RB23" s="13">
        <f t="shared" si="100"/>
        <v>0</v>
      </c>
    </row>
    <row r="24" spans="1:471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54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55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56"/>
        <v>0</v>
      </c>
      <c r="AQ24" s="4">
        <f t="shared" si="57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58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59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60"/>
        <v>0</v>
      </c>
      <c r="CE24" s="4">
        <f t="shared" si="61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62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63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64"/>
        <v>0</v>
      </c>
      <c r="DS24" s="4">
        <f t="shared" si="65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66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67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68"/>
        <v>0</v>
      </c>
      <c r="FG24" s="4">
        <f t="shared" si="69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70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71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72"/>
        <v>0</v>
      </c>
      <c r="GU24" s="4">
        <f t="shared" si="73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74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75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76"/>
        <v>0</v>
      </c>
      <c r="II24" s="4">
        <f t="shared" si="77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78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79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80"/>
        <v>0</v>
      </c>
      <c r="JW24" s="4">
        <f t="shared" si="81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82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83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84"/>
        <v>0</v>
      </c>
      <c r="LK24" s="4">
        <f t="shared" si="85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86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87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88"/>
        <v>0</v>
      </c>
      <c r="MY24" s="4">
        <f t="shared" si="89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90"/>
        <v>0</v>
      </c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>
        <f t="shared" si="91"/>
        <v>0</v>
      </c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>
        <f t="shared" si="92"/>
        <v>0</v>
      </c>
      <c r="OM24" s="4">
        <f t="shared" si="93"/>
        <v>0</v>
      </c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>
        <f t="shared" si="94"/>
        <v>0</v>
      </c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>
        <f t="shared" si="95"/>
        <v>0</v>
      </c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>
        <f t="shared" si="96"/>
        <v>0</v>
      </c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>
        <f t="shared" si="97"/>
        <v>0</v>
      </c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>
        <f t="shared" si="98"/>
        <v>0</v>
      </c>
      <c r="RA24" s="4">
        <f t="shared" si="99"/>
        <v>0</v>
      </c>
      <c r="RB24" s="13">
        <f t="shared" si="100"/>
        <v>0</v>
      </c>
    </row>
    <row r="25" spans="1:471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54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55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56"/>
        <v>0</v>
      </c>
      <c r="AQ25" s="4">
        <f t="shared" si="57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58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59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60"/>
        <v>0</v>
      </c>
      <c r="CE25" s="4">
        <f t="shared" si="61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62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63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64"/>
        <v>0</v>
      </c>
      <c r="DS25" s="4">
        <f t="shared" si="65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66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67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68"/>
        <v>0</v>
      </c>
      <c r="FG25" s="4">
        <f t="shared" si="69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70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71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72"/>
        <v>0</v>
      </c>
      <c r="GU25" s="4">
        <f t="shared" si="73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74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75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76"/>
        <v>0</v>
      </c>
      <c r="II25" s="4">
        <f t="shared" si="77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78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79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80"/>
        <v>0</v>
      </c>
      <c r="JW25" s="4">
        <f t="shared" si="81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82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83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84"/>
        <v>0</v>
      </c>
      <c r="LK25" s="4">
        <f t="shared" si="85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86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87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88"/>
        <v>0</v>
      </c>
      <c r="MY25" s="4">
        <f t="shared" si="89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90"/>
        <v>0</v>
      </c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>
        <f t="shared" si="91"/>
        <v>0</v>
      </c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>
        <f t="shared" si="92"/>
        <v>0</v>
      </c>
      <c r="OM25" s="4">
        <f t="shared" si="93"/>
        <v>0</v>
      </c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>
        <f t="shared" si="94"/>
        <v>0</v>
      </c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>
        <f t="shared" si="95"/>
        <v>0</v>
      </c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>
        <f t="shared" si="96"/>
        <v>0</v>
      </c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>
        <f t="shared" si="97"/>
        <v>0</v>
      </c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>
        <f t="shared" si="98"/>
        <v>0</v>
      </c>
      <c r="RA25" s="4">
        <f t="shared" si="99"/>
        <v>0</v>
      </c>
      <c r="RB25" s="13">
        <f t="shared" si="100"/>
        <v>0</v>
      </c>
    </row>
    <row r="26" spans="1:471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54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55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56"/>
        <v>0</v>
      </c>
      <c r="AQ26" s="4">
        <f t="shared" si="57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58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59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60"/>
        <v>0</v>
      </c>
      <c r="CE26" s="4">
        <f t="shared" si="61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62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63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64"/>
        <v>0</v>
      </c>
      <c r="DS26" s="4">
        <f t="shared" si="65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66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67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68"/>
        <v>0</v>
      </c>
      <c r="FG26" s="4">
        <f t="shared" si="69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70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71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72"/>
        <v>0</v>
      </c>
      <c r="GU26" s="4">
        <f t="shared" si="73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74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75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76"/>
        <v>0</v>
      </c>
      <c r="II26" s="4">
        <f t="shared" si="77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78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79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80"/>
        <v>0</v>
      </c>
      <c r="JW26" s="4">
        <f t="shared" si="81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82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83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84"/>
        <v>0</v>
      </c>
      <c r="LK26" s="4">
        <f t="shared" si="85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86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87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88"/>
        <v>0</v>
      </c>
      <c r="MY26" s="4">
        <f t="shared" si="89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90"/>
        <v>0</v>
      </c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>
        <f t="shared" si="91"/>
        <v>0</v>
      </c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>
        <f t="shared" si="92"/>
        <v>0</v>
      </c>
      <c r="OM26" s="4">
        <f t="shared" si="93"/>
        <v>0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>
        <f t="shared" si="94"/>
        <v>0</v>
      </c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>
        <f t="shared" si="95"/>
        <v>0</v>
      </c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>
        <f t="shared" si="96"/>
        <v>0</v>
      </c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>
        <f t="shared" si="97"/>
        <v>0</v>
      </c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>
        <f t="shared" si="98"/>
        <v>0</v>
      </c>
      <c r="RA26" s="4">
        <f t="shared" si="99"/>
        <v>0</v>
      </c>
      <c r="RB26" s="13">
        <f t="shared" si="100"/>
        <v>0</v>
      </c>
    </row>
    <row r="27" spans="1:471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54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55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56"/>
        <v>0</v>
      </c>
      <c r="AQ27" s="4">
        <f t="shared" si="57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58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59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60"/>
        <v>0</v>
      </c>
      <c r="CE27" s="4">
        <f t="shared" si="61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62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63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64"/>
        <v>0</v>
      </c>
      <c r="DS27" s="4">
        <f t="shared" si="65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66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67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68"/>
        <v>0</v>
      </c>
      <c r="FG27" s="4">
        <f t="shared" si="69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70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71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72"/>
        <v>0</v>
      </c>
      <c r="GU27" s="4">
        <f t="shared" si="73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74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75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76"/>
        <v>0</v>
      </c>
      <c r="II27" s="4">
        <f t="shared" si="77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78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79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80"/>
        <v>0</v>
      </c>
      <c r="JW27" s="4">
        <f t="shared" si="81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82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83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84"/>
        <v>0</v>
      </c>
      <c r="LK27" s="4">
        <f t="shared" si="85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86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87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88"/>
        <v>0</v>
      </c>
      <c r="MY27" s="4">
        <f t="shared" si="89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90"/>
        <v>0</v>
      </c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>
        <f t="shared" si="91"/>
        <v>0</v>
      </c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>
        <f t="shared" si="92"/>
        <v>0</v>
      </c>
      <c r="OM27" s="4">
        <f t="shared" si="93"/>
        <v>0</v>
      </c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>
        <f t="shared" si="94"/>
        <v>0</v>
      </c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>
        <f t="shared" si="95"/>
        <v>0</v>
      </c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>
        <f t="shared" si="96"/>
        <v>0</v>
      </c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>
        <f t="shared" si="97"/>
        <v>0</v>
      </c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>
        <f t="shared" si="98"/>
        <v>0</v>
      </c>
      <c r="RA27" s="4">
        <f t="shared" si="99"/>
        <v>0</v>
      </c>
      <c r="RB27" s="13">
        <f t="shared" si="100"/>
        <v>0</v>
      </c>
    </row>
    <row r="28" spans="1:471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54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55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56"/>
        <v>0</v>
      </c>
      <c r="AQ28" s="4">
        <f t="shared" si="57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58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59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60"/>
        <v>0</v>
      </c>
      <c r="CE28" s="4">
        <f t="shared" si="61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62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63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64"/>
        <v>0</v>
      </c>
      <c r="DS28" s="4">
        <f t="shared" si="65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66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67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68"/>
        <v>0</v>
      </c>
      <c r="FG28" s="4">
        <f t="shared" si="69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70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71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72"/>
        <v>0</v>
      </c>
      <c r="GU28" s="4">
        <f t="shared" si="73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74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75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76"/>
        <v>0</v>
      </c>
      <c r="II28" s="4">
        <f t="shared" si="77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78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79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80"/>
        <v>0</v>
      </c>
      <c r="JW28" s="4">
        <f t="shared" si="81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82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83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84"/>
        <v>0</v>
      </c>
      <c r="LK28" s="4">
        <f t="shared" si="85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86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87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88"/>
        <v>0</v>
      </c>
      <c r="MY28" s="4">
        <f t="shared" si="89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90"/>
        <v>0</v>
      </c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>
        <f t="shared" si="91"/>
        <v>0</v>
      </c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>
        <f t="shared" si="92"/>
        <v>0</v>
      </c>
      <c r="OM28" s="4">
        <f t="shared" si="93"/>
        <v>0</v>
      </c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>
        <f t="shared" si="94"/>
        <v>0</v>
      </c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>
        <f t="shared" si="95"/>
        <v>0</v>
      </c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>
        <f t="shared" si="96"/>
        <v>0</v>
      </c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>
        <f t="shared" si="97"/>
        <v>0</v>
      </c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>
        <f t="shared" si="98"/>
        <v>0</v>
      </c>
      <c r="RA28" s="4">
        <f t="shared" si="99"/>
        <v>0</v>
      </c>
      <c r="RB28" s="13">
        <f t="shared" si="100"/>
        <v>0</v>
      </c>
    </row>
    <row r="29" spans="1:471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54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55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56"/>
        <v>0</v>
      </c>
      <c r="AQ29" s="4">
        <f t="shared" si="57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58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59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60"/>
        <v>0</v>
      </c>
      <c r="CE29" s="4">
        <f t="shared" si="61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62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63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64"/>
        <v>0</v>
      </c>
      <c r="DS29" s="4">
        <f t="shared" si="65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66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67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68"/>
        <v>0</v>
      </c>
      <c r="FG29" s="4">
        <f t="shared" si="69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70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71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72"/>
        <v>0</v>
      </c>
      <c r="GU29" s="4">
        <f t="shared" si="73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74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75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76"/>
        <v>0</v>
      </c>
      <c r="II29" s="4">
        <f t="shared" si="77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78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79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80"/>
        <v>0</v>
      </c>
      <c r="JW29" s="4">
        <f t="shared" si="81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82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83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84"/>
        <v>0</v>
      </c>
      <c r="LK29" s="4">
        <f t="shared" si="85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86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87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88"/>
        <v>0</v>
      </c>
      <c r="MY29" s="4">
        <f t="shared" si="89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90"/>
        <v>0</v>
      </c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>
        <f t="shared" si="91"/>
        <v>0</v>
      </c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>
        <f t="shared" si="92"/>
        <v>0</v>
      </c>
      <c r="OM29" s="4">
        <f t="shared" si="93"/>
        <v>0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f t="shared" si="94"/>
        <v>0</v>
      </c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>
        <f t="shared" si="95"/>
        <v>0</v>
      </c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>
        <f t="shared" si="96"/>
        <v>0</v>
      </c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>
        <f t="shared" si="97"/>
        <v>0</v>
      </c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>
        <f t="shared" si="98"/>
        <v>0</v>
      </c>
      <c r="RA29" s="4">
        <f t="shared" si="99"/>
        <v>0</v>
      </c>
      <c r="RB29" s="13">
        <f t="shared" si="100"/>
        <v>0</v>
      </c>
      <c r="RC29" s="84">
        <f>SUM(RB22:RB29)</f>
        <v>0</v>
      </c>
    </row>
    <row r="30" spans="1:471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54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55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56"/>
        <v>0</v>
      </c>
      <c r="AQ30" s="4">
        <f t="shared" si="57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58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59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60"/>
        <v>0</v>
      </c>
      <c r="CE30" s="4">
        <f t="shared" si="61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62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63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64"/>
        <v>0</v>
      </c>
      <c r="DS30" s="4">
        <f t="shared" si="65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66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67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68"/>
        <v>0</v>
      </c>
      <c r="FG30" s="4">
        <f t="shared" si="69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70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71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72"/>
        <v>0</v>
      </c>
      <c r="GU30" s="4">
        <f t="shared" si="73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74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75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76"/>
        <v>0</v>
      </c>
      <c r="II30" s="4">
        <f t="shared" si="77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78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79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80"/>
        <v>0</v>
      </c>
      <c r="JW30" s="4">
        <f t="shared" si="81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82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83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84"/>
        <v>0</v>
      </c>
      <c r="LK30" s="4">
        <f t="shared" si="85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86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87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88"/>
        <v>0</v>
      </c>
      <c r="MY30" s="4">
        <f t="shared" si="89"/>
        <v>0</v>
      </c>
      <c r="MZ30" s="4">
        <v>92430</v>
      </c>
      <c r="NA30" s="4">
        <v>92430</v>
      </c>
      <c r="NB30" s="4">
        <v>92430</v>
      </c>
      <c r="NC30" s="4">
        <v>92430</v>
      </c>
      <c r="ND30" s="4">
        <v>92430</v>
      </c>
      <c r="NE30" s="4">
        <v>92430</v>
      </c>
      <c r="NF30" s="4">
        <v>96090</v>
      </c>
      <c r="NG30" s="4">
        <f>21960+96090</f>
        <v>118050</v>
      </c>
      <c r="NH30" s="4">
        <v>96090</v>
      </c>
      <c r="NI30" s="4">
        <v>96090</v>
      </c>
      <c r="NJ30" s="4">
        <v>96090</v>
      </c>
      <c r="NK30" s="4">
        <v>96090</v>
      </c>
      <c r="NL30" s="4">
        <f t="shared" si="90"/>
        <v>1153080</v>
      </c>
      <c r="NM30" s="4">
        <v>2250</v>
      </c>
      <c r="NN30" s="4">
        <v>2250</v>
      </c>
      <c r="NO30" s="4">
        <v>2250</v>
      </c>
      <c r="NP30" s="4">
        <v>2250</v>
      </c>
      <c r="NQ30" s="4">
        <v>2250</v>
      </c>
      <c r="NR30" s="4">
        <v>2250</v>
      </c>
      <c r="NS30" s="4">
        <v>2250</v>
      </c>
      <c r="NT30" s="4">
        <v>2250</v>
      </c>
      <c r="NU30" s="4">
        <v>2250</v>
      </c>
      <c r="NV30" s="4">
        <v>2250</v>
      </c>
      <c r="NW30" s="4">
        <v>2250</v>
      </c>
      <c r="NX30" s="4">
        <v>2250</v>
      </c>
      <c r="NY30" s="4">
        <f t="shared" si="91"/>
        <v>27000</v>
      </c>
      <c r="NZ30" s="4">
        <v>1051</v>
      </c>
      <c r="OA30" s="4">
        <v>1051</v>
      </c>
      <c r="OB30" s="4">
        <v>1051</v>
      </c>
      <c r="OC30" s="4">
        <v>1051</v>
      </c>
      <c r="OD30" s="4">
        <v>1051</v>
      </c>
      <c r="OE30" s="4">
        <v>1051</v>
      </c>
      <c r="OF30" s="4">
        <v>1099</v>
      </c>
      <c r="OG30" s="4">
        <f>288+1099</f>
        <v>1387</v>
      </c>
      <c r="OH30" s="4">
        <v>1099</v>
      </c>
      <c r="OI30" s="4">
        <v>1099</v>
      </c>
      <c r="OJ30" s="4">
        <v>1099</v>
      </c>
      <c r="OK30" s="4">
        <v>1099</v>
      </c>
      <c r="OL30" s="4">
        <f t="shared" si="92"/>
        <v>13188</v>
      </c>
      <c r="OM30" s="4">
        <f t="shared" si="93"/>
        <v>1193268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>
        <f t="shared" si="94"/>
        <v>0</v>
      </c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>
        <f t="shared" si="95"/>
        <v>0</v>
      </c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>
        <f t="shared" si="96"/>
        <v>0</v>
      </c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>
        <f t="shared" si="97"/>
        <v>0</v>
      </c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>
        <f t="shared" si="98"/>
        <v>0</v>
      </c>
      <c r="RA30" s="4">
        <f t="shared" si="99"/>
        <v>0</v>
      </c>
      <c r="RB30" s="13">
        <f t="shared" si="100"/>
        <v>1193268</v>
      </c>
    </row>
    <row r="31" spans="1:471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54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55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56"/>
        <v>0</v>
      </c>
      <c r="AQ31" s="4">
        <f t="shared" si="57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58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59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60"/>
        <v>0</v>
      </c>
      <c r="CE31" s="4">
        <f t="shared" si="61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62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63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64"/>
        <v>0</v>
      </c>
      <c r="DS31" s="4">
        <f t="shared" si="65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66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67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68"/>
        <v>0</v>
      </c>
      <c r="FG31" s="4">
        <f t="shared" si="69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70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71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72"/>
        <v>0</v>
      </c>
      <c r="GU31" s="4">
        <f t="shared" si="73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74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75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76"/>
        <v>0</v>
      </c>
      <c r="II31" s="4">
        <f t="shared" si="77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78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79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80"/>
        <v>0</v>
      </c>
      <c r="JW31" s="4">
        <f t="shared" si="81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82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83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84"/>
        <v>0</v>
      </c>
      <c r="LK31" s="4">
        <f t="shared" si="85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86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87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88"/>
        <v>0</v>
      </c>
      <c r="MY31" s="4">
        <f t="shared" si="89"/>
        <v>0</v>
      </c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>
        <f t="shared" si="90"/>
        <v>0</v>
      </c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>
        <f t="shared" si="91"/>
        <v>0</v>
      </c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>
        <f t="shared" si="92"/>
        <v>0</v>
      </c>
      <c r="OM31" s="4">
        <f t="shared" si="93"/>
        <v>0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>
        <f t="shared" si="94"/>
        <v>0</v>
      </c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>
        <f t="shared" si="95"/>
        <v>0</v>
      </c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>
        <f t="shared" si="96"/>
        <v>0</v>
      </c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>
        <f t="shared" si="97"/>
        <v>0</v>
      </c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>
        <f t="shared" si="98"/>
        <v>0</v>
      </c>
      <c r="RA31" s="4">
        <f t="shared" si="99"/>
        <v>0</v>
      </c>
      <c r="RB31" s="13">
        <f t="shared" si="100"/>
        <v>0</v>
      </c>
    </row>
    <row r="32" spans="1:471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54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55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56"/>
        <v>0</v>
      </c>
      <c r="AQ32" s="4">
        <f t="shared" si="57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58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59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60"/>
        <v>0</v>
      </c>
      <c r="CE32" s="4">
        <f t="shared" si="61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62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63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64"/>
        <v>0</v>
      </c>
      <c r="DS32" s="4">
        <f t="shared" si="65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66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67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68"/>
        <v>0</v>
      </c>
      <c r="FG32" s="4">
        <f t="shared" si="69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70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71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72"/>
        <v>0</v>
      </c>
      <c r="GU32" s="4">
        <f t="shared" si="73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74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75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76"/>
        <v>0</v>
      </c>
      <c r="II32" s="4">
        <f t="shared" si="77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78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79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80"/>
        <v>0</v>
      </c>
      <c r="JW32" s="4">
        <f t="shared" si="81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82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83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84"/>
        <v>0</v>
      </c>
      <c r="LK32" s="4">
        <f t="shared" si="85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86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87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88"/>
        <v>0</v>
      </c>
      <c r="MY32" s="4">
        <f t="shared" si="89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90"/>
        <v>0</v>
      </c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>
        <f t="shared" si="91"/>
        <v>0</v>
      </c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>
        <f t="shared" si="92"/>
        <v>0</v>
      </c>
      <c r="OM32" s="4">
        <f t="shared" si="93"/>
        <v>0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f t="shared" si="94"/>
        <v>0</v>
      </c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>
        <f t="shared" si="95"/>
        <v>0</v>
      </c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>
        <f t="shared" si="96"/>
        <v>0</v>
      </c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>
        <f t="shared" si="97"/>
        <v>0</v>
      </c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>
        <f t="shared" si="98"/>
        <v>0</v>
      </c>
      <c r="RA32" s="4">
        <f t="shared" si="99"/>
        <v>0</v>
      </c>
      <c r="RB32" s="13">
        <f t="shared" si="100"/>
        <v>0</v>
      </c>
    </row>
    <row r="33" spans="1:471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54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55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56"/>
        <v>0</v>
      </c>
      <c r="AQ33" s="4">
        <f t="shared" si="57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58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59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60"/>
        <v>0</v>
      </c>
      <c r="CE33" s="4">
        <f t="shared" si="61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62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63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64"/>
        <v>0</v>
      </c>
      <c r="DS33" s="4">
        <f t="shared" si="65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66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67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68"/>
        <v>0</v>
      </c>
      <c r="FG33" s="4">
        <f t="shared" si="69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70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71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72"/>
        <v>0</v>
      </c>
      <c r="GU33" s="4">
        <f t="shared" si="73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74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75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76"/>
        <v>0</v>
      </c>
      <c r="II33" s="4">
        <f t="shared" si="77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78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79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80"/>
        <v>0</v>
      </c>
      <c r="JW33" s="4">
        <f t="shared" si="81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82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83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84"/>
        <v>0</v>
      </c>
      <c r="LK33" s="4">
        <f t="shared" si="85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86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87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88"/>
        <v>0</v>
      </c>
      <c r="MY33" s="4">
        <f t="shared" si="89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90"/>
        <v>0</v>
      </c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>
        <f t="shared" si="91"/>
        <v>0</v>
      </c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>
        <f t="shared" si="92"/>
        <v>0</v>
      </c>
      <c r="OM33" s="4">
        <f t="shared" si="93"/>
        <v>0</v>
      </c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>
        <f t="shared" si="94"/>
        <v>0</v>
      </c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>
        <f t="shared" si="95"/>
        <v>0</v>
      </c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>
        <f t="shared" si="96"/>
        <v>0</v>
      </c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>
        <f t="shared" si="97"/>
        <v>0</v>
      </c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>
        <f t="shared" si="98"/>
        <v>0</v>
      </c>
      <c r="RA33" s="4">
        <f t="shared" si="99"/>
        <v>0</v>
      </c>
      <c r="RB33" s="13">
        <f t="shared" si="100"/>
        <v>0</v>
      </c>
    </row>
    <row r="34" spans="1:471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54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55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56"/>
        <v>0</v>
      </c>
      <c r="AQ34" s="4">
        <f t="shared" si="57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58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59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60"/>
        <v>0</v>
      </c>
      <c r="CE34" s="4">
        <f t="shared" si="61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62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63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64"/>
        <v>0</v>
      </c>
      <c r="DS34" s="4">
        <f t="shared" si="65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66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67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68"/>
        <v>0</v>
      </c>
      <c r="FG34" s="4">
        <f t="shared" si="69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70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71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72"/>
        <v>0</v>
      </c>
      <c r="GU34" s="4">
        <f t="shared" si="73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74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75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76"/>
        <v>0</v>
      </c>
      <c r="II34" s="4">
        <f t="shared" si="77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78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79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80"/>
        <v>0</v>
      </c>
      <c r="JW34" s="4">
        <f t="shared" si="81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82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83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84"/>
        <v>0</v>
      </c>
      <c r="LK34" s="4">
        <f t="shared" si="85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86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87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88"/>
        <v>0</v>
      </c>
      <c r="MY34" s="4">
        <f t="shared" si="89"/>
        <v>0</v>
      </c>
      <c r="MZ34" s="4">
        <v>24450</v>
      </c>
      <c r="NA34" s="4">
        <v>24450</v>
      </c>
      <c r="NB34" s="4">
        <v>24450</v>
      </c>
      <c r="NC34" s="4">
        <v>24450</v>
      </c>
      <c r="ND34" s="4">
        <v>24450</v>
      </c>
      <c r="NE34" s="4">
        <v>24450</v>
      </c>
      <c r="NF34" s="4">
        <v>25470</v>
      </c>
      <c r="NG34" s="4">
        <f>6120+25470</f>
        <v>31590</v>
      </c>
      <c r="NH34" s="4">
        <v>25470</v>
      </c>
      <c r="NI34" s="4">
        <v>25470</v>
      </c>
      <c r="NJ34" s="4">
        <v>25470</v>
      </c>
      <c r="NK34" s="4">
        <v>25470</v>
      </c>
      <c r="NL34" s="4">
        <f t="shared" si="90"/>
        <v>305640</v>
      </c>
      <c r="NM34" s="4">
        <v>750</v>
      </c>
      <c r="NN34" s="4">
        <v>750</v>
      </c>
      <c r="NO34" s="4">
        <v>750</v>
      </c>
      <c r="NP34" s="4">
        <v>750</v>
      </c>
      <c r="NQ34" s="4">
        <v>750</v>
      </c>
      <c r="NR34" s="4">
        <v>750</v>
      </c>
      <c r="NS34" s="4">
        <v>750</v>
      </c>
      <c r="NT34" s="4">
        <v>750</v>
      </c>
      <c r="NU34" s="4">
        <v>750</v>
      </c>
      <c r="NV34" s="4">
        <v>750</v>
      </c>
      <c r="NW34" s="4">
        <v>750</v>
      </c>
      <c r="NX34" s="4">
        <v>750</v>
      </c>
      <c r="NY34" s="4">
        <f t="shared" si="91"/>
        <v>9000</v>
      </c>
      <c r="NZ34" s="4">
        <v>0</v>
      </c>
      <c r="OA34" s="4">
        <v>0</v>
      </c>
      <c r="OB34" s="4">
        <v>0</v>
      </c>
      <c r="OC34" s="4">
        <v>0</v>
      </c>
      <c r="OD34" s="4">
        <v>0</v>
      </c>
      <c r="OE34" s="4">
        <v>0</v>
      </c>
      <c r="OF34" s="4">
        <v>0</v>
      </c>
      <c r="OG34" s="4">
        <v>0</v>
      </c>
      <c r="OH34" s="4">
        <v>0</v>
      </c>
      <c r="OI34" s="4">
        <v>0</v>
      </c>
      <c r="OJ34" s="4">
        <v>0</v>
      </c>
      <c r="OK34" s="4">
        <v>0</v>
      </c>
      <c r="OL34" s="4">
        <f t="shared" si="92"/>
        <v>0</v>
      </c>
      <c r="OM34" s="4">
        <f t="shared" si="93"/>
        <v>314640</v>
      </c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>
        <f t="shared" si="94"/>
        <v>0</v>
      </c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>
        <f t="shared" si="95"/>
        <v>0</v>
      </c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>
        <f t="shared" si="96"/>
        <v>0</v>
      </c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>
        <f t="shared" si="97"/>
        <v>0</v>
      </c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>
        <f t="shared" si="98"/>
        <v>0</v>
      </c>
      <c r="RA34" s="4">
        <f t="shared" si="99"/>
        <v>0</v>
      </c>
      <c r="RB34" s="13">
        <f t="shared" si="100"/>
        <v>314640</v>
      </c>
    </row>
    <row r="35" spans="1:471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54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55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56"/>
        <v>0</v>
      </c>
      <c r="AQ35" s="4">
        <f t="shared" si="57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58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59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60"/>
        <v>0</v>
      </c>
      <c r="CE35" s="4">
        <f t="shared" si="61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62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63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64"/>
        <v>0</v>
      </c>
      <c r="DS35" s="4">
        <f t="shared" si="65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66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67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68"/>
        <v>0</v>
      </c>
      <c r="FG35" s="4">
        <f t="shared" si="69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70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71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72"/>
        <v>0</v>
      </c>
      <c r="GU35" s="4">
        <f t="shared" si="73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74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75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76"/>
        <v>0</v>
      </c>
      <c r="II35" s="4">
        <f t="shared" si="77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78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79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80"/>
        <v>0</v>
      </c>
      <c r="JW35" s="4">
        <f t="shared" si="81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82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83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84"/>
        <v>0</v>
      </c>
      <c r="LK35" s="4">
        <f t="shared" si="85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86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87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88"/>
        <v>0</v>
      </c>
      <c r="MY35" s="4">
        <f t="shared" si="89"/>
        <v>0</v>
      </c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4">
        <f t="shared" si="90"/>
        <v>0</v>
      </c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4">
        <f t="shared" si="91"/>
        <v>0</v>
      </c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4">
        <f t="shared" si="92"/>
        <v>0</v>
      </c>
      <c r="OM35" s="4">
        <f t="shared" si="93"/>
        <v>0</v>
      </c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4">
        <f t="shared" si="94"/>
        <v>0</v>
      </c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4">
        <f t="shared" si="95"/>
        <v>0</v>
      </c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4">
        <f t="shared" si="96"/>
        <v>0</v>
      </c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4">
        <f t="shared" si="97"/>
        <v>0</v>
      </c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4">
        <f t="shared" si="98"/>
        <v>0</v>
      </c>
      <c r="RA35" s="4">
        <f t="shared" si="99"/>
        <v>0</v>
      </c>
      <c r="RB35" s="13">
        <f t="shared" si="100"/>
        <v>0</v>
      </c>
    </row>
    <row r="36" spans="1:471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54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55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56"/>
        <v>0</v>
      </c>
      <c r="AQ36" s="4">
        <f t="shared" si="57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58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59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60"/>
        <v>0</v>
      </c>
      <c r="CE36" s="4">
        <f t="shared" si="61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62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63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64"/>
        <v>0</v>
      </c>
      <c r="DS36" s="4">
        <f t="shared" si="65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66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67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68"/>
        <v>0</v>
      </c>
      <c r="FG36" s="4">
        <f t="shared" si="69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70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71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72"/>
        <v>0</v>
      </c>
      <c r="GU36" s="4">
        <f t="shared" si="73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74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75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76"/>
        <v>0</v>
      </c>
      <c r="II36" s="4">
        <f t="shared" si="77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78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79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80"/>
        <v>0</v>
      </c>
      <c r="JW36" s="4">
        <f t="shared" si="81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82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83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84"/>
        <v>0</v>
      </c>
      <c r="LK36" s="4">
        <f t="shared" si="85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86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87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88"/>
        <v>0</v>
      </c>
      <c r="MY36" s="4">
        <f t="shared" si="89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90"/>
        <v>0</v>
      </c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4">
        <f t="shared" si="91"/>
        <v>0</v>
      </c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4">
        <f t="shared" si="92"/>
        <v>0</v>
      </c>
      <c r="OM36" s="4">
        <f t="shared" si="93"/>
        <v>0</v>
      </c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4">
        <f t="shared" si="94"/>
        <v>0</v>
      </c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4">
        <f t="shared" si="95"/>
        <v>0</v>
      </c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4">
        <f t="shared" si="96"/>
        <v>0</v>
      </c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4">
        <f t="shared" si="97"/>
        <v>0</v>
      </c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4">
        <f t="shared" si="98"/>
        <v>0</v>
      </c>
      <c r="RA36" s="4">
        <f t="shared" si="99"/>
        <v>0</v>
      </c>
      <c r="RB36" s="13">
        <f t="shared" si="100"/>
        <v>0</v>
      </c>
    </row>
    <row r="37" spans="1:471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54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55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56"/>
        <v>0</v>
      </c>
      <c r="AQ37" s="4">
        <f t="shared" si="57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58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59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60"/>
        <v>0</v>
      </c>
      <c r="CE37" s="4">
        <f t="shared" si="61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62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63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64"/>
        <v>0</v>
      </c>
      <c r="DS37" s="4">
        <f t="shared" si="65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66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67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68"/>
        <v>0</v>
      </c>
      <c r="FG37" s="4">
        <f t="shared" si="69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70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71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72"/>
        <v>0</v>
      </c>
      <c r="GU37" s="4">
        <f t="shared" si="73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74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75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76"/>
        <v>0</v>
      </c>
      <c r="II37" s="4">
        <f t="shared" si="77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78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79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80"/>
        <v>0</v>
      </c>
      <c r="JW37" s="4">
        <f t="shared" si="81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82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83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84"/>
        <v>0</v>
      </c>
      <c r="LK37" s="4">
        <f t="shared" si="85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86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87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88"/>
        <v>0</v>
      </c>
      <c r="MY37" s="4">
        <f t="shared" si="89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90"/>
        <v>0</v>
      </c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4">
        <f t="shared" si="91"/>
        <v>0</v>
      </c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4">
        <f t="shared" si="92"/>
        <v>0</v>
      </c>
      <c r="OM37" s="4">
        <f t="shared" si="93"/>
        <v>0</v>
      </c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4">
        <f t="shared" si="94"/>
        <v>0</v>
      </c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4">
        <f t="shared" si="95"/>
        <v>0</v>
      </c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4">
        <f t="shared" si="96"/>
        <v>0</v>
      </c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4">
        <f t="shared" si="97"/>
        <v>0</v>
      </c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4">
        <f t="shared" si="98"/>
        <v>0</v>
      </c>
      <c r="RA37" s="4">
        <f t="shared" si="99"/>
        <v>0</v>
      </c>
      <c r="RB37" s="13">
        <f t="shared" si="100"/>
        <v>0</v>
      </c>
      <c r="RC37" s="84">
        <f>SUM(RB30:RB37)</f>
        <v>1507908</v>
      </c>
    </row>
    <row r="38" spans="1:471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54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55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56"/>
        <v>0</v>
      </c>
      <c r="AQ38" s="4">
        <f t="shared" si="57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58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59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60"/>
        <v>0</v>
      </c>
      <c r="CE38" s="4">
        <f t="shared" si="61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62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63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64"/>
        <v>0</v>
      </c>
      <c r="DS38" s="4">
        <f t="shared" si="65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66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67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68"/>
        <v>0</v>
      </c>
      <c r="FG38" s="4">
        <f t="shared" si="69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70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71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72"/>
        <v>0</v>
      </c>
      <c r="GU38" s="4">
        <f t="shared" si="73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74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75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76"/>
        <v>0</v>
      </c>
      <c r="II38" s="4">
        <f t="shared" si="77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78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79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80"/>
        <v>0</v>
      </c>
      <c r="JW38" s="4">
        <f t="shared" si="81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82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83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84"/>
        <v>0</v>
      </c>
      <c r="LK38" s="4">
        <f t="shared" si="85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86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87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88"/>
        <v>0</v>
      </c>
      <c r="MY38" s="4">
        <f t="shared" si="89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90"/>
        <v>0</v>
      </c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4">
        <f t="shared" si="91"/>
        <v>0</v>
      </c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4">
        <f t="shared" si="92"/>
        <v>0</v>
      </c>
      <c r="OM38" s="4">
        <f t="shared" si="93"/>
        <v>0</v>
      </c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4">
        <f t="shared" si="94"/>
        <v>0</v>
      </c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4">
        <f t="shared" si="95"/>
        <v>0</v>
      </c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4">
        <f t="shared" si="96"/>
        <v>0</v>
      </c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4">
        <f t="shared" si="97"/>
        <v>0</v>
      </c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4">
        <f t="shared" si="98"/>
        <v>0</v>
      </c>
      <c r="RA38" s="4">
        <f t="shared" si="99"/>
        <v>0</v>
      </c>
      <c r="RB38" s="13">
        <f t="shared" si="100"/>
        <v>0</v>
      </c>
    </row>
    <row r="39" spans="1:471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54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55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56"/>
        <v>0</v>
      </c>
      <c r="AQ39" s="4">
        <f t="shared" si="57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58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59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60"/>
        <v>0</v>
      </c>
      <c r="CE39" s="4">
        <f t="shared" si="61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62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63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64"/>
        <v>0</v>
      </c>
      <c r="DS39" s="4">
        <f t="shared" si="65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66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67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68"/>
        <v>0</v>
      </c>
      <c r="FG39" s="4">
        <f t="shared" si="69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70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71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72"/>
        <v>0</v>
      </c>
      <c r="GU39" s="4">
        <f t="shared" si="73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74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75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76"/>
        <v>0</v>
      </c>
      <c r="II39" s="4">
        <f t="shared" si="77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78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79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80"/>
        <v>0</v>
      </c>
      <c r="JW39" s="4">
        <f t="shared" si="81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82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83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84"/>
        <v>0</v>
      </c>
      <c r="LK39" s="4">
        <f t="shared" si="85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86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87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88"/>
        <v>0</v>
      </c>
      <c r="MY39" s="4">
        <f t="shared" si="89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90"/>
        <v>0</v>
      </c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4">
        <f t="shared" si="91"/>
        <v>0</v>
      </c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4">
        <f t="shared" si="92"/>
        <v>0</v>
      </c>
      <c r="OM39" s="4">
        <f t="shared" si="93"/>
        <v>0</v>
      </c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4">
        <f t="shared" si="94"/>
        <v>0</v>
      </c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4">
        <f t="shared" si="95"/>
        <v>0</v>
      </c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4">
        <f t="shared" si="96"/>
        <v>0</v>
      </c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4">
        <f t="shared" si="97"/>
        <v>0</v>
      </c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4">
        <f t="shared" si="98"/>
        <v>0</v>
      </c>
      <c r="RA39" s="4">
        <f t="shared" si="99"/>
        <v>0</v>
      </c>
      <c r="RB39" s="13">
        <f t="shared" si="100"/>
        <v>0</v>
      </c>
    </row>
    <row r="40" spans="1:471" s="10" customFormat="1" ht="21.75" thickBot="1" x14ac:dyDescent="0.4">
      <c r="A40" s="8"/>
      <c r="B40" s="8"/>
      <c r="C40" s="8"/>
      <c r="D40" s="9">
        <f>SUM(D6:D39)</f>
        <v>160410</v>
      </c>
      <c r="E40" s="9">
        <f t="shared" ref="E40:O40" si="101">SUM(E6:E39)</f>
        <v>160410</v>
      </c>
      <c r="F40" s="9">
        <f t="shared" si="101"/>
        <v>160410</v>
      </c>
      <c r="G40" s="9">
        <f t="shared" si="101"/>
        <v>160410</v>
      </c>
      <c r="H40" s="9">
        <f t="shared" si="101"/>
        <v>160410</v>
      </c>
      <c r="I40" s="9">
        <f t="shared" si="101"/>
        <v>160410</v>
      </c>
      <c r="J40" s="9">
        <f t="shared" si="101"/>
        <v>216340</v>
      </c>
      <c r="K40" s="9">
        <f t="shared" si="101"/>
        <v>168400</v>
      </c>
      <c r="L40" s="9">
        <f t="shared" si="101"/>
        <v>168400</v>
      </c>
      <c r="M40" s="9">
        <f t="shared" si="101"/>
        <v>168400</v>
      </c>
      <c r="N40" s="9">
        <f t="shared" si="101"/>
        <v>168400</v>
      </c>
      <c r="O40" s="9">
        <f t="shared" si="101"/>
        <v>168400</v>
      </c>
      <c r="P40" s="25">
        <f t="shared" si="54"/>
        <v>2020800</v>
      </c>
      <c r="Q40" s="9">
        <f>SUM(Q6:Q39)</f>
        <v>3750</v>
      </c>
      <c r="R40" s="9">
        <f t="shared" ref="R40:AB40" si="102">SUM(R6:R39)</f>
        <v>3750</v>
      </c>
      <c r="S40" s="9">
        <f t="shared" si="102"/>
        <v>3750</v>
      </c>
      <c r="T40" s="9">
        <f t="shared" si="102"/>
        <v>3750</v>
      </c>
      <c r="U40" s="9">
        <f t="shared" si="102"/>
        <v>3750</v>
      </c>
      <c r="V40" s="9">
        <f t="shared" si="102"/>
        <v>3750</v>
      </c>
      <c r="W40" s="9">
        <f t="shared" si="102"/>
        <v>3750</v>
      </c>
      <c r="X40" s="9">
        <f t="shared" si="102"/>
        <v>3750</v>
      </c>
      <c r="Y40" s="9">
        <f t="shared" si="102"/>
        <v>3750</v>
      </c>
      <c r="Z40" s="9">
        <f t="shared" si="102"/>
        <v>3750</v>
      </c>
      <c r="AA40" s="9">
        <f t="shared" si="102"/>
        <v>3750</v>
      </c>
      <c r="AB40" s="9">
        <f t="shared" si="102"/>
        <v>3750</v>
      </c>
      <c r="AC40" s="25">
        <f t="shared" si="55"/>
        <v>45000</v>
      </c>
      <c r="AD40" s="9">
        <f>SUM(AD6:AD39)</f>
        <v>3355</v>
      </c>
      <c r="AE40" s="9">
        <f t="shared" ref="AE40:AO40" si="103">SUM(AE6:AE39)</f>
        <v>3355</v>
      </c>
      <c r="AF40" s="9">
        <f t="shared" si="103"/>
        <v>3355</v>
      </c>
      <c r="AG40" s="9">
        <f t="shared" si="103"/>
        <v>3355</v>
      </c>
      <c r="AH40" s="9">
        <f t="shared" si="103"/>
        <v>3355</v>
      </c>
      <c r="AI40" s="9">
        <f t="shared" si="103"/>
        <v>3355</v>
      </c>
      <c r="AJ40" s="9">
        <f t="shared" si="103"/>
        <v>4523</v>
      </c>
      <c r="AK40" s="9">
        <f t="shared" si="103"/>
        <v>3523</v>
      </c>
      <c r="AL40" s="9">
        <f t="shared" si="103"/>
        <v>3523</v>
      </c>
      <c r="AM40" s="9">
        <f t="shared" si="103"/>
        <v>3523</v>
      </c>
      <c r="AN40" s="9">
        <f t="shared" si="103"/>
        <v>3523</v>
      </c>
      <c r="AO40" s="9">
        <f t="shared" si="103"/>
        <v>3523</v>
      </c>
      <c r="AP40" s="25">
        <f t="shared" si="56"/>
        <v>42268</v>
      </c>
      <c r="AQ40" s="25">
        <f t="shared" si="57"/>
        <v>2108068</v>
      </c>
      <c r="AR40" s="9">
        <f>SUM(AR6:AR39)</f>
        <v>294100</v>
      </c>
      <c r="AS40" s="9">
        <f t="shared" ref="AS40:BC40" si="104">SUM(AS6:AS39)</f>
        <v>294100</v>
      </c>
      <c r="AT40" s="9">
        <f t="shared" si="104"/>
        <v>294100</v>
      </c>
      <c r="AU40" s="9">
        <f t="shared" si="104"/>
        <v>294100</v>
      </c>
      <c r="AV40" s="9">
        <f t="shared" si="104"/>
        <v>294100</v>
      </c>
      <c r="AW40" s="9">
        <f t="shared" si="104"/>
        <v>294100</v>
      </c>
      <c r="AX40" s="9">
        <f t="shared" si="104"/>
        <v>394480</v>
      </c>
      <c r="AY40" s="9">
        <f t="shared" si="104"/>
        <v>308440</v>
      </c>
      <c r="AZ40" s="9">
        <f t="shared" si="104"/>
        <v>308440</v>
      </c>
      <c r="BA40" s="9">
        <f t="shared" si="104"/>
        <v>308440</v>
      </c>
      <c r="BB40" s="9">
        <f t="shared" si="104"/>
        <v>308440</v>
      </c>
      <c r="BC40" s="9">
        <f t="shared" si="104"/>
        <v>308440</v>
      </c>
      <c r="BD40" s="25">
        <f t="shared" si="58"/>
        <v>3701280</v>
      </c>
      <c r="BE40" s="9">
        <f>SUM(BE6:BE39)</f>
        <v>6750</v>
      </c>
      <c r="BF40" s="9">
        <f t="shared" ref="BF40:BP40" si="105">SUM(BF6:BF39)</f>
        <v>6750</v>
      </c>
      <c r="BG40" s="9">
        <f t="shared" si="105"/>
        <v>6750</v>
      </c>
      <c r="BH40" s="9">
        <f t="shared" si="105"/>
        <v>6750</v>
      </c>
      <c r="BI40" s="9">
        <f t="shared" si="105"/>
        <v>6750</v>
      </c>
      <c r="BJ40" s="9">
        <f t="shared" si="105"/>
        <v>6750</v>
      </c>
      <c r="BK40" s="9">
        <f t="shared" si="105"/>
        <v>6750</v>
      </c>
      <c r="BL40" s="9">
        <f t="shared" si="105"/>
        <v>6750</v>
      </c>
      <c r="BM40" s="9">
        <f t="shared" si="105"/>
        <v>6750</v>
      </c>
      <c r="BN40" s="9">
        <f t="shared" si="105"/>
        <v>6750</v>
      </c>
      <c r="BO40" s="9">
        <f t="shared" si="105"/>
        <v>6750</v>
      </c>
      <c r="BP40" s="9">
        <f t="shared" si="105"/>
        <v>6750</v>
      </c>
      <c r="BQ40" s="25">
        <f t="shared" si="59"/>
        <v>81000</v>
      </c>
      <c r="BR40" s="9">
        <f>SUM(BR6:BR39)</f>
        <v>7123</v>
      </c>
      <c r="BS40" s="9">
        <f t="shared" ref="BS40:CC40" si="106">SUM(BS6:BS39)</f>
        <v>7123</v>
      </c>
      <c r="BT40" s="9">
        <f t="shared" si="106"/>
        <v>7123</v>
      </c>
      <c r="BU40" s="9">
        <f t="shared" si="106"/>
        <v>7123</v>
      </c>
      <c r="BV40" s="9">
        <f t="shared" si="106"/>
        <v>7123</v>
      </c>
      <c r="BW40" s="9">
        <f t="shared" si="106"/>
        <v>7123</v>
      </c>
      <c r="BX40" s="9">
        <f t="shared" si="106"/>
        <v>10562</v>
      </c>
      <c r="BY40" s="9">
        <f t="shared" si="106"/>
        <v>8492</v>
      </c>
      <c r="BZ40" s="9">
        <f t="shared" si="106"/>
        <v>8492</v>
      </c>
      <c r="CA40" s="9">
        <f t="shared" si="106"/>
        <v>8492</v>
      </c>
      <c r="CB40" s="9">
        <f t="shared" si="106"/>
        <v>8492</v>
      </c>
      <c r="CC40" s="9">
        <f t="shared" si="106"/>
        <v>8492</v>
      </c>
      <c r="CD40" s="25">
        <f t="shared" si="60"/>
        <v>95760</v>
      </c>
      <c r="CE40" s="25">
        <f t="shared" si="61"/>
        <v>3878040</v>
      </c>
      <c r="CF40" s="9">
        <f>SUM(CF6:CF39)</f>
        <v>189650</v>
      </c>
      <c r="CG40" s="9">
        <f t="shared" ref="CG40:CQ40" si="107">SUM(CG6:CG39)</f>
        <v>189650</v>
      </c>
      <c r="CH40" s="9">
        <f t="shared" si="107"/>
        <v>189650</v>
      </c>
      <c r="CI40" s="9">
        <f t="shared" si="107"/>
        <v>189650</v>
      </c>
      <c r="CJ40" s="9">
        <f t="shared" si="107"/>
        <v>189650</v>
      </c>
      <c r="CK40" s="9">
        <f t="shared" si="107"/>
        <v>189650</v>
      </c>
      <c r="CL40" s="9">
        <f t="shared" si="107"/>
        <v>244810</v>
      </c>
      <c r="CM40" s="9">
        <f t="shared" si="107"/>
        <v>197530</v>
      </c>
      <c r="CN40" s="9">
        <f t="shared" si="107"/>
        <v>197530</v>
      </c>
      <c r="CO40" s="9">
        <f t="shared" si="107"/>
        <v>197530</v>
      </c>
      <c r="CP40" s="9">
        <f t="shared" si="107"/>
        <v>197530</v>
      </c>
      <c r="CQ40" s="9">
        <f t="shared" si="107"/>
        <v>197530</v>
      </c>
      <c r="CR40" s="25">
        <f t="shared" si="62"/>
        <v>2370360</v>
      </c>
      <c r="CS40" s="9">
        <f>SUM(CS6:CS39)</f>
        <v>4500</v>
      </c>
      <c r="CT40" s="9">
        <f t="shared" ref="CT40:DD40" si="108">SUM(CT6:CT39)</f>
        <v>4500</v>
      </c>
      <c r="CU40" s="9">
        <f t="shared" si="108"/>
        <v>4500</v>
      </c>
      <c r="CV40" s="9">
        <f t="shared" si="108"/>
        <v>4500</v>
      </c>
      <c r="CW40" s="9">
        <f t="shared" si="108"/>
        <v>4500</v>
      </c>
      <c r="CX40" s="9">
        <f t="shared" si="108"/>
        <v>4500</v>
      </c>
      <c r="CY40" s="9">
        <f t="shared" si="108"/>
        <v>4500</v>
      </c>
      <c r="CZ40" s="9">
        <f t="shared" si="108"/>
        <v>4500</v>
      </c>
      <c r="DA40" s="9">
        <f t="shared" si="108"/>
        <v>4500</v>
      </c>
      <c r="DB40" s="9">
        <f t="shared" si="108"/>
        <v>4500</v>
      </c>
      <c r="DC40" s="9">
        <f t="shared" si="108"/>
        <v>4500</v>
      </c>
      <c r="DD40" s="9">
        <f t="shared" si="108"/>
        <v>4500</v>
      </c>
      <c r="DE40" s="25">
        <f t="shared" si="63"/>
        <v>54000</v>
      </c>
      <c r="DF40" s="9">
        <f>SUM(DF6:DF39)</f>
        <v>5690</v>
      </c>
      <c r="DG40" s="9">
        <f t="shared" ref="DG40:DQ40" si="109">SUM(DG6:DG39)</f>
        <v>5690</v>
      </c>
      <c r="DH40" s="9">
        <f t="shared" si="109"/>
        <v>5690</v>
      </c>
      <c r="DI40" s="9">
        <f t="shared" si="109"/>
        <v>5690</v>
      </c>
      <c r="DJ40" s="9">
        <f t="shared" si="109"/>
        <v>5690</v>
      </c>
      <c r="DK40" s="9">
        <f t="shared" si="109"/>
        <v>5690</v>
      </c>
      <c r="DL40" s="9">
        <f t="shared" si="109"/>
        <v>7342</v>
      </c>
      <c r="DM40" s="9">
        <f t="shared" si="109"/>
        <v>5926</v>
      </c>
      <c r="DN40" s="9">
        <f t="shared" si="109"/>
        <v>5926</v>
      </c>
      <c r="DO40" s="9">
        <f t="shared" si="109"/>
        <v>5926</v>
      </c>
      <c r="DP40" s="9">
        <f t="shared" si="109"/>
        <v>5926</v>
      </c>
      <c r="DQ40" s="9">
        <f t="shared" si="109"/>
        <v>5926</v>
      </c>
      <c r="DR40" s="25">
        <f t="shared" si="64"/>
        <v>71112</v>
      </c>
      <c r="DS40" s="25">
        <f t="shared" si="65"/>
        <v>2495472</v>
      </c>
      <c r="DT40" s="9">
        <f>SUM(DT6:DT39)</f>
        <v>253820</v>
      </c>
      <c r="DU40" s="9">
        <f t="shared" ref="DU40:EE40" si="110">SUM(DU6:DU39)</f>
        <v>253820</v>
      </c>
      <c r="DV40" s="9">
        <f t="shared" si="110"/>
        <v>253820</v>
      </c>
      <c r="DW40" s="9">
        <f t="shared" si="110"/>
        <v>253820</v>
      </c>
      <c r="DX40" s="9">
        <f t="shared" si="110"/>
        <v>253820</v>
      </c>
      <c r="DY40" s="9">
        <f t="shared" si="110"/>
        <v>253820</v>
      </c>
      <c r="DZ40" s="9">
        <f t="shared" si="110"/>
        <v>333410</v>
      </c>
      <c r="EA40" s="9">
        <f t="shared" si="110"/>
        <v>265190</v>
      </c>
      <c r="EB40" s="9">
        <f t="shared" si="110"/>
        <v>265190</v>
      </c>
      <c r="EC40" s="9">
        <f t="shared" si="110"/>
        <v>265190</v>
      </c>
      <c r="ED40" s="9">
        <f t="shared" si="110"/>
        <v>265190</v>
      </c>
      <c r="EE40" s="9">
        <f t="shared" si="110"/>
        <v>265190</v>
      </c>
      <c r="EF40" s="25">
        <f t="shared" si="66"/>
        <v>3182280</v>
      </c>
      <c r="EG40" s="9">
        <f>SUM(EG6:EG39)</f>
        <v>6000</v>
      </c>
      <c r="EH40" s="9">
        <f t="shared" ref="EH40:ER40" si="111">SUM(EH6:EH39)</f>
        <v>6000</v>
      </c>
      <c r="EI40" s="9">
        <f t="shared" si="111"/>
        <v>6000</v>
      </c>
      <c r="EJ40" s="9">
        <f t="shared" si="111"/>
        <v>6000</v>
      </c>
      <c r="EK40" s="9">
        <f t="shared" si="111"/>
        <v>6000</v>
      </c>
      <c r="EL40" s="9">
        <f t="shared" si="111"/>
        <v>6000</v>
      </c>
      <c r="EM40" s="9">
        <f t="shared" si="111"/>
        <v>6000</v>
      </c>
      <c r="EN40" s="9">
        <f t="shared" si="111"/>
        <v>6000</v>
      </c>
      <c r="EO40" s="9">
        <f t="shared" si="111"/>
        <v>6000</v>
      </c>
      <c r="EP40" s="9">
        <f t="shared" si="111"/>
        <v>6000</v>
      </c>
      <c r="EQ40" s="9">
        <f t="shared" si="111"/>
        <v>6000</v>
      </c>
      <c r="ER40" s="9">
        <f t="shared" si="111"/>
        <v>6000</v>
      </c>
      <c r="ES40" s="25">
        <f t="shared" si="67"/>
        <v>72000</v>
      </c>
      <c r="ET40" s="9">
        <f>SUM(ET6:ET39)</f>
        <v>6645</v>
      </c>
      <c r="EU40" s="9">
        <f t="shared" ref="EU40:FE40" si="112">SUM(EU6:EU39)</f>
        <v>6645</v>
      </c>
      <c r="EV40" s="9">
        <f t="shared" si="112"/>
        <v>6645</v>
      </c>
      <c r="EW40" s="9">
        <f t="shared" si="112"/>
        <v>6645</v>
      </c>
      <c r="EX40" s="9">
        <f t="shared" si="112"/>
        <v>6645</v>
      </c>
      <c r="EY40" s="9">
        <f t="shared" si="112"/>
        <v>6645</v>
      </c>
      <c r="EZ40" s="9">
        <f t="shared" si="112"/>
        <v>8696</v>
      </c>
      <c r="FA40" s="9">
        <f t="shared" si="112"/>
        <v>6938</v>
      </c>
      <c r="FB40" s="9">
        <f t="shared" si="112"/>
        <v>6938</v>
      </c>
      <c r="FC40" s="9">
        <f t="shared" si="112"/>
        <v>6938</v>
      </c>
      <c r="FD40" s="9">
        <f t="shared" si="112"/>
        <v>6938</v>
      </c>
      <c r="FE40" s="9">
        <f t="shared" si="112"/>
        <v>6938</v>
      </c>
      <c r="FF40" s="25">
        <f t="shared" si="68"/>
        <v>83256</v>
      </c>
      <c r="FG40" s="25">
        <f t="shared" si="69"/>
        <v>3337536</v>
      </c>
      <c r="FH40" s="9">
        <f>SUM(FH6:FH39)</f>
        <v>310600</v>
      </c>
      <c r="FI40" s="9">
        <f t="shared" ref="FI40:FS40" si="113">SUM(FI6:FI39)</f>
        <v>310600</v>
      </c>
      <c r="FJ40" s="9">
        <f t="shared" si="113"/>
        <v>310600</v>
      </c>
      <c r="FK40" s="9">
        <f t="shared" si="113"/>
        <v>310600</v>
      </c>
      <c r="FL40" s="9">
        <f t="shared" si="113"/>
        <v>310600</v>
      </c>
      <c r="FM40" s="9">
        <f t="shared" si="113"/>
        <v>310600</v>
      </c>
      <c r="FN40" s="9">
        <f t="shared" si="113"/>
        <v>399150</v>
      </c>
      <c r="FO40" s="9">
        <f t="shared" si="113"/>
        <v>323250</v>
      </c>
      <c r="FP40" s="9">
        <f t="shared" si="113"/>
        <v>323250</v>
      </c>
      <c r="FQ40" s="9">
        <f t="shared" si="113"/>
        <v>323250</v>
      </c>
      <c r="FR40" s="9">
        <f t="shared" si="113"/>
        <v>323250</v>
      </c>
      <c r="FS40" s="9">
        <f t="shared" si="113"/>
        <v>323250</v>
      </c>
      <c r="FT40" s="25">
        <f t="shared" si="70"/>
        <v>3879000</v>
      </c>
      <c r="FU40" s="9">
        <f>SUM(FU6:FU39)</f>
        <v>7500</v>
      </c>
      <c r="FV40" s="9">
        <f t="shared" ref="FV40:GF40" si="114">SUM(FV6:FV39)</f>
        <v>7500</v>
      </c>
      <c r="FW40" s="9">
        <f t="shared" si="114"/>
        <v>7500</v>
      </c>
      <c r="FX40" s="9">
        <f t="shared" si="114"/>
        <v>7500</v>
      </c>
      <c r="FY40" s="9">
        <f t="shared" si="114"/>
        <v>7500</v>
      </c>
      <c r="FZ40" s="9">
        <f t="shared" si="114"/>
        <v>7500</v>
      </c>
      <c r="GA40" s="9">
        <f t="shared" si="114"/>
        <v>7500</v>
      </c>
      <c r="GB40" s="9">
        <f t="shared" si="114"/>
        <v>7500</v>
      </c>
      <c r="GC40" s="9">
        <f t="shared" si="114"/>
        <v>7500</v>
      </c>
      <c r="GD40" s="9">
        <f t="shared" si="114"/>
        <v>7500</v>
      </c>
      <c r="GE40" s="9">
        <f t="shared" si="114"/>
        <v>7500</v>
      </c>
      <c r="GF40" s="9">
        <f t="shared" si="114"/>
        <v>7500</v>
      </c>
      <c r="GG40" s="25">
        <f t="shared" si="71"/>
        <v>90000</v>
      </c>
      <c r="GH40" s="9">
        <f>SUM(GH6:GH39)</f>
        <v>9318</v>
      </c>
      <c r="GI40" s="9">
        <f t="shared" ref="GI40:GS40" si="115">SUM(GI6:GI39)</f>
        <v>9318</v>
      </c>
      <c r="GJ40" s="9">
        <f t="shared" si="115"/>
        <v>9318</v>
      </c>
      <c r="GK40" s="9">
        <f t="shared" si="115"/>
        <v>9318</v>
      </c>
      <c r="GL40" s="9">
        <f t="shared" si="115"/>
        <v>9318</v>
      </c>
      <c r="GM40" s="9">
        <f t="shared" si="115"/>
        <v>9318</v>
      </c>
      <c r="GN40" s="9">
        <f t="shared" si="115"/>
        <v>11984</v>
      </c>
      <c r="GO40" s="9">
        <f t="shared" si="115"/>
        <v>9698</v>
      </c>
      <c r="GP40" s="9">
        <f t="shared" si="115"/>
        <v>9698</v>
      </c>
      <c r="GQ40" s="9">
        <f t="shared" si="115"/>
        <v>9698</v>
      </c>
      <c r="GR40" s="9">
        <f t="shared" si="115"/>
        <v>9698</v>
      </c>
      <c r="GS40" s="9">
        <f t="shared" si="115"/>
        <v>9698</v>
      </c>
      <c r="GT40" s="25">
        <f t="shared" si="72"/>
        <v>116382</v>
      </c>
      <c r="GU40" s="25">
        <f t="shared" si="73"/>
        <v>4085382</v>
      </c>
      <c r="GV40" s="9">
        <f>SUM(GV6:GV39)</f>
        <v>292130</v>
      </c>
      <c r="GW40" s="9">
        <f t="shared" ref="GW40:HG40" si="116">SUM(GW6:GW39)</f>
        <v>292130</v>
      </c>
      <c r="GX40" s="9">
        <f t="shared" si="116"/>
        <v>323980</v>
      </c>
      <c r="GY40" s="9">
        <f t="shared" si="116"/>
        <v>311630</v>
      </c>
      <c r="GZ40" s="9">
        <f t="shared" si="116"/>
        <v>311630</v>
      </c>
      <c r="HA40" s="9">
        <f t="shared" si="116"/>
        <v>311630</v>
      </c>
      <c r="HB40" s="9">
        <f t="shared" si="116"/>
        <v>390660</v>
      </c>
      <c r="HC40" s="9">
        <f t="shared" si="116"/>
        <v>322920</v>
      </c>
      <c r="HD40" s="9">
        <f t="shared" si="116"/>
        <v>322920</v>
      </c>
      <c r="HE40" s="9">
        <f t="shared" si="116"/>
        <v>322920</v>
      </c>
      <c r="HF40" s="9">
        <f t="shared" si="116"/>
        <v>322920</v>
      </c>
      <c r="HG40" s="9">
        <f t="shared" si="116"/>
        <v>322920</v>
      </c>
      <c r="HH40" s="25">
        <f t="shared" si="74"/>
        <v>3848390</v>
      </c>
      <c r="HI40" s="9">
        <f>SUM(HI6:HI39)</f>
        <v>6750</v>
      </c>
      <c r="HJ40" s="9">
        <f t="shared" ref="HJ40:HT40" si="117">SUM(HJ6:HJ39)</f>
        <v>6750</v>
      </c>
      <c r="HK40" s="9">
        <f t="shared" si="117"/>
        <v>8118</v>
      </c>
      <c r="HL40" s="9">
        <f t="shared" si="117"/>
        <v>7500</v>
      </c>
      <c r="HM40" s="9">
        <f t="shared" si="117"/>
        <v>7500</v>
      </c>
      <c r="HN40" s="9">
        <f t="shared" si="117"/>
        <v>7500</v>
      </c>
      <c r="HO40" s="9">
        <f t="shared" si="117"/>
        <v>7500</v>
      </c>
      <c r="HP40" s="9">
        <f t="shared" si="117"/>
        <v>7500</v>
      </c>
      <c r="HQ40" s="9">
        <f t="shared" si="117"/>
        <v>7500</v>
      </c>
      <c r="HR40" s="9">
        <f t="shared" si="117"/>
        <v>7500</v>
      </c>
      <c r="HS40" s="9">
        <f t="shared" si="117"/>
        <v>7500</v>
      </c>
      <c r="HT40" s="9">
        <f t="shared" si="117"/>
        <v>7500</v>
      </c>
      <c r="HU40" s="25">
        <f t="shared" si="75"/>
        <v>89118</v>
      </c>
      <c r="HV40" s="9">
        <f>SUM(HV6:HV39)</f>
        <v>7821</v>
      </c>
      <c r="HW40" s="9">
        <f t="shared" ref="HW40:IG40" si="118">SUM(HW6:HW39)</f>
        <v>7821</v>
      </c>
      <c r="HX40" s="9">
        <f t="shared" si="118"/>
        <v>7821</v>
      </c>
      <c r="HY40" s="9">
        <f t="shared" si="118"/>
        <v>7821</v>
      </c>
      <c r="HZ40" s="9">
        <f t="shared" si="118"/>
        <v>7821</v>
      </c>
      <c r="IA40" s="9">
        <f t="shared" si="118"/>
        <v>7821</v>
      </c>
      <c r="IB40" s="9">
        <f t="shared" si="118"/>
        <v>10197</v>
      </c>
      <c r="IC40" s="9">
        <f t="shared" si="118"/>
        <v>8157</v>
      </c>
      <c r="ID40" s="9">
        <f t="shared" si="118"/>
        <v>9102</v>
      </c>
      <c r="IE40" s="9">
        <f t="shared" si="118"/>
        <v>9102</v>
      </c>
      <c r="IF40" s="9">
        <f t="shared" si="118"/>
        <v>9102</v>
      </c>
      <c r="IG40" s="9">
        <f t="shared" si="118"/>
        <v>9102</v>
      </c>
      <c r="IH40" s="25">
        <f t="shared" si="76"/>
        <v>101688</v>
      </c>
      <c r="II40" s="25">
        <f t="shared" si="77"/>
        <v>4039196</v>
      </c>
      <c r="IJ40" s="9">
        <f>SUM(IJ6:IJ39)</f>
        <v>263700</v>
      </c>
      <c r="IK40" s="9">
        <f t="shared" ref="IK40:IU40" si="119">SUM(IK6:IK39)</f>
        <v>263700</v>
      </c>
      <c r="IL40" s="9">
        <f t="shared" si="119"/>
        <v>236100</v>
      </c>
      <c r="IM40" s="9">
        <f t="shared" si="119"/>
        <v>236100</v>
      </c>
      <c r="IN40" s="9">
        <f t="shared" si="119"/>
        <v>267600</v>
      </c>
      <c r="IO40" s="9">
        <f t="shared" si="119"/>
        <v>267600</v>
      </c>
      <c r="IP40" s="9">
        <f t="shared" si="119"/>
        <v>370154.23</v>
      </c>
      <c r="IQ40" s="9">
        <f t="shared" si="119"/>
        <v>281420</v>
      </c>
      <c r="IR40" s="9">
        <f t="shared" si="119"/>
        <v>281420</v>
      </c>
      <c r="IS40" s="9">
        <f t="shared" si="119"/>
        <v>288770</v>
      </c>
      <c r="IT40" s="9">
        <f t="shared" si="119"/>
        <v>281420</v>
      </c>
      <c r="IU40" s="9">
        <f t="shared" si="119"/>
        <v>281420</v>
      </c>
      <c r="IV40" s="25">
        <f t="shared" si="78"/>
        <v>3319404.23</v>
      </c>
      <c r="IW40" s="9">
        <f>SUM(IW6:IW39)</f>
        <v>6000</v>
      </c>
      <c r="IX40" s="9">
        <f t="shared" ref="IX40:JH40" si="120">SUM(IX6:IX39)</f>
        <v>6000</v>
      </c>
      <c r="IY40" s="9">
        <f t="shared" si="120"/>
        <v>5250</v>
      </c>
      <c r="IZ40" s="9">
        <f t="shared" si="120"/>
        <v>5250</v>
      </c>
      <c r="JA40" s="9">
        <f t="shared" si="120"/>
        <v>6000</v>
      </c>
      <c r="JB40" s="9">
        <f t="shared" si="120"/>
        <v>6000</v>
      </c>
      <c r="JC40" s="9">
        <f t="shared" si="120"/>
        <v>6000</v>
      </c>
      <c r="JD40" s="9">
        <f t="shared" si="120"/>
        <v>6000</v>
      </c>
      <c r="JE40" s="9">
        <f t="shared" si="120"/>
        <v>6000</v>
      </c>
      <c r="JF40" s="9">
        <f t="shared" si="120"/>
        <v>6000</v>
      </c>
      <c r="JG40" s="9">
        <f t="shared" si="120"/>
        <v>6000</v>
      </c>
      <c r="JH40" s="9">
        <f t="shared" si="120"/>
        <v>6000</v>
      </c>
      <c r="JI40" s="25">
        <f t="shared" si="79"/>
        <v>70500</v>
      </c>
      <c r="JJ40" s="9">
        <f>SUM(JJ6:JJ39)</f>
        <v>5861</v>
      </c>
      <c r="JK40" s="9">
        <f t="shared" ref="JK40:JU40" si="121">SUM(JK6:JK39)</f>
        <v>5861</v>
      </c>
      <c r="JL40" s="9">
        <f t="shared" si="121"/>
        <v>5033</v>
      </c>
      <c r="JM40" s="9">
        <f t="shared" si="121"/>
        <v>5033</v>
      </c>
      <c r="JN40" s="9">
        <f t="shared" si="121"/>
        <v>5978</v>
      </c>
      <c r="JO40" s="9">
        <f t="shared" si="121"/>
        <v>5978</v>
      </c>
      <c r="JP40" s="9">
        <f t="shared" si="121"/>
        <v>9278</v>
      </c>
      <c r="JQ40" s="9">
        <f t="shared" si="121"/>
        <v>6301</v>
      </c>
      <c r="JR40" s="9">
        <f t="shared" si="121"/>
        <v>6301</v>
      </c>
      <c r="JS40" s="9">
        <f t="shared" si="121"/>
        <v>6523</v>
      </c>
      <c r="JT40" s="9">
        <f t="shared" si="121"/>
        <v>6301</v>
      </c>
      <c r="JU40" s="9">
        <f t="shared" si="121"/>
        <v>6301</v>
      </c>
      <c r="JV40" s="25">
        <f t="shared" si="80"/>
        <v>74749</v>
      </c>
      <c r="JW40" s="25">
        <f t="shared" si="81"/>
        <v>3464653.23</v>
      </c>
      <c r="JX40" s="9">
        <f>SUM(JX6:JX39)</f>
        <v>312030</v>
      </c>
      <c r="JY40" s="9">
        <f t="shared" ref="JY40:KI40" si="122">SUM(JY6:JY39)</f>
        <v>312030</v>
      </c>
      <c r="JZ40" s="9">
        <f t="shared" si="122"/>
        <v>312030</v>
      </c>
      <c r="KA40" s="9">
        <f t="shared" si="122"/>
        <v>312030</v>
      </c>
      <c r="KB40" s="9">
        <f t="shared" si="122"/>
        <v>312030</v>
      </c>
      <c r="KC40" s="9">
        <f t="shared" si="122"/>
        <v>312030</v>
      </c>
      <c r="KD40" s="9">
        <f t="shared" si="122"/>
        <v>401070</v>
      </c>
      <c r="KE40" s="9">
        <f t="shared" si="122"/>
        <v>324750</v>
      </c>
      <c r="KF40" s="9">
        <f t="shared" si="122"/>
        <v>324750</v>
      </c>
      <c r="KG40" s="9">
        <f t="shared" si="122"/>
        <v>327200</v>
      </c>
      <c r="KH40" s="9">
        <f t="shared" si="122"/>
        <v>327200</v>
      </c>
      <c r="KI40" s="9">
        <f t="shared" si="122"/>
        <v>327200</v>
      </c>
      <c r="KJ40" s="25">
        <f t="shared" si="82"/>
        <v>3904350</v>
      </c>
      <c r="KK40" s="9">
        <f>SUM(KK6:KK39)</f>
        <v>6750</v>
      </c>
      <c r="KL40" s="9">
        <f t="shared" ref="KL40:KV40" si="123">SUM(KL6:KL39)</f>
        <v>6750</v>
      </c>
      <c r="KM40" s="9">
        <f t="shared" si="123"/>
        <v>6750</v>
      </c>
      <c r="KN40" s="9">
        <f t="shared" si="123"/>
        <v>6750</v>
      </c>
      <c r="KO40" s="9">
        <f t="shared" si="123"/>
        <v>6750</v>
      </c>
      <c r="KP40" s="9">
        <f t="shared" si="123"/>
        <v>6750</v>
      </c>
      <c r="KQ40" s="9">
        <f t="shared" si="123"/>
        <v>6750</v>
      </c>
      <c r="KR40" s="9">
        <f t="shared" si="123"/>
        <v>6750</v>
      </c>
      <c r="KS40" s="9">
        <f t="shared" si="123"/>
        <v>6750</v>
      </c>
      <c r="KT40" s="9">
        <f t="shared" si="123"/>
        <v>6750</v>
      </c>
      <c r="KU40" s="9">
        <f t="shared" si="123"/>
        <v>6750</v>
      </c>
      <c r="KV40" s="9">
        <f t="shared" si="123"/>
        <v>6750</v>
      </c>
      <c r="KW40" s="25">
        <f t="shared" si="83"/>
        <v>81000</v>
      </c>
      <c r="KX40" s="9">
        <f>SUM(KX6:KX39)</f>
        <v>9363</v>
      </c>
      <c r="KY40" s="9">
        <f t="shared" ref="KY40:LI40" si="124">SUM(KY6:KY39)</f>
        <v>9363</v>
      </c>
      <c r="KZ40" s="9">
        <f t="shared" si="124"/>
        <v>9363</v>
      </c>
      <c r="LA40" s="9">
        <f t="shared" si="124"/>
        <v>9363</v>
      </c>
      <c r="LB40" s="9">
        <f t="shared" si="124"/>
        <v>9363</v>
      </c>
      <c r="LC40" s="9">
        <f t="shared" si="124"/>
        <v>9363</v>
      </c>
      <c r="LD40" s="9">
        <f t="shared" si="124"/>
        <v>12036</v>
      </c>
      <c r="LE40" s="9">
        <f t="shared" si="124"/>
        <v>9744</v>
      </c>
      <c r="LF40" s="9">
        <f t="shared" si="124"/>
        <v>9744</v>
      </c>
      <c r="LG40" s="9">
        <f t="shared" si="124"/>
        <v>9817</v>
      </c>
      <c r="LH40" s="9">
        <f t="shared" si="124"/>
        <v>9817</v>
      </c>
      <c r="LI40" s="9">
        <f t="shared" si="124"/>
        <v>9817</v>
      </c>
      <c r="LJ40" s="25">
        <f t="shared" si="84"/>
        <v>117153</v>
      </c>
      <c r="LK40" s="25">
        <f t="shared" si="85"/>
        <v>4102503</v>
      </c>
      <c r="LL40" s="9">
        <f>SUM(LL6:LL39)</f>
        <v>214390</v>
      </c>
      <c r="LM40" s="9">
        <f t="shared" ref="LM40:LW40" si="125">SUM(LM6:LM39)</f>
        <v>214390</v>
      </c>
      <c r="LN40" s="9">
        <f t="shared" si="125"/>
        <v>251140</v>
      </c>
      <c r="LO40" s="9">
        <f t="shared" si="125"/>
        <v>245890</v>
      </c>
      <c r="LP40" s="9">
        <f t="shared" si="125"/>
        <v>214390</v>
      </c>
      <c r="LQ40" s="9">
        <f t="shared" si="125"/>
        <v>214390</v>
      </c>
      <c r="LR40" s="9">
        <f t="shared" si="125"/>
        <v>287190</v>
      </c>
      <c r="LS40" s="9">
        <f t="shared" si="125"/>
        <v>224790</v>
      </c>
      <c r="LT40" s="9">
        <f t="shared" si="125"/>
        <v>224790</v>
      </c>
      <c r="LU40" s="9">
        <f t="shared" si="125"/>
        <v>224790</v>
      </c>
      <c r="LV40" s="9">
        <f t="shared" si="125"/>
        <v>224790</v>
      </c>
      <c r="LW40" s="9">
        <f t="shared" si="125"/>
        <v>224790</v>
      </c>
      <c r="LX40" s="25">
        <f t="shared" si="86"/>
        <v>2765730</v>
      </c>
      <c r="LY40" s="9">
        <f>SUM(LY6:LY39)</f>
        <v>5250</v>
      </c>
      <c r="LZ40" s="9">
        <f t="shared" ref="LZ40:MJ40" si="126">SUM(LZ6:LZ39)</f>
        <v>5250</v>
      </c>
      <c r="MA40" s="9">
        <f t="shared" si="126"/>
        <v>6020</v>
      </c>
      <c r="MB40" s="9">
        <f t="shared" si="126"/>
        <v>6000</v>
      </c>
      <c r="MC40" s="9">
        <f t="shared" si="126"/>
        <v>5250</v>
      </c>
      <c r="MD40" s="9">
        <f t="shared" si="126"/>
        <v>5250</v>
      </c>
      <c r="ME40" s="9">
        <f t="shared" si="126"/>
        <v>5250</v>
      </c>
      <c r="MF40" s="9">
        <f t="shared" si="126"/>
        <v>5250</v>
      </c>
      <c r="MG40" s="9">
        <f t="shared" si="126"/>
        <v>5250</v>
      </c>
      <c r="MH40" s="9">
        <f t="shared" si="126"/>
        <v>5250</v>
      </c>
      <c r="MI40" s="9">
        <f t="shared" si="126"/>
        <v>5250</v>
      </c>
      <c r="MJ40" s="9">
        <f t="shared" si="126"/>
        <v>5250</v>
      </c>
      <c r="MK40" s="25">
        <f t="shared" si="87"/>
        <v>64520</v>
      </c>
      <c r="ML40" s="9">
        <f>SUM(ML6:ML39)</f>
        <v>3679</v>
      </c>
      <c r="MM40" s="9">
        <f t="shared" ref="MM40:MW40" si="127">SUM(MM6:MM39)</f>
        <v>3679</v>
      </c>
      <c r="MN40" s="9">
        <f t="shared" si="127"/>
        <v>4624</v>
      </c>
      <c r="MO40" s="9">
        <f t="shared" si="127"/>
        <v>4624</v>
      </c>
      <c r="MP40" s="9">
        <f t="shared" si="127"/>
        <v>3679</v>
      </c>
      <c r="MQ40" s="9">
        <f t="shared" si="127"/>
        <v>3679</v>
      </c>
      <c r="MR40" s="9">
        <f t="shared" si="127"/>
        <v>4968</v>
      </c>
      <c r="MS40" s="9">
        <f t="shared" si="127"/>
        <v>3864</v>
      </c>
      <c r="MT40" s="9">
        <f t="shared" si="127"/>
        <v>3864</v>
      </c>
      <c r="MU40" s="9">
        <f t="shared" si="127"/>
        <v>3864</v>
      </c>
      <c r="MV40" s="9">
        <f t="shared" si="127"/>
        <v>3864</v>
      </c>
      <c r="MW40" s="9">
        <f t="shared" si="127"/>
        <v>3864</v>
      </c>
      <c r="MX40" s="25">
        <f t="shared" si="88"/>
        <v>48252</v>
      </c>
      <c r="MY40" s="25">
        <f t="shared" si="89"/>
        <v>2878502</v>
      </c>
      <c r="MZ40" s="9">
        <f>SUM(MZ6:MZ39)</f>
        <v>262010</v>
      </c>
      <c r="NA40" s="9">
        <f t="shared" ref="NA40:NK40" si="128">SUM(NA6:NA39)</f>
        <v>262010</v>
      </c>
      <c r="NB40" s="9">
        <f t="shared" si="128"/>
        <v>262010</v>
      </c>
      <c r="NC40" s="9">
        <f t="shared" si="128"/>
        <v>262010</v>
      </c>
      <c r="ND40" s="9">
        <f t="shared" si="128"/>
        <v>262010</v>
      </c>
      <c r="NE40" s="9">
        <f t="shared" si="128"/>
        <v>262010</v>
      </c>
      <c r="NF40" s="9">
        <f t="shared" si="128"/>
        <v>317720</v>
      </c>
      <c r="NG40" s="9">
        <f t="shared" si="128"/>
        <v>302060</v>
      </c>
      <c r="NH40" s="9">
        <f t="shared" si="128"/>
        <v>273980</v>
      </c>
      <c r="NI40" s="9">
        <f t="shared" si="128"/>
        <v>273980</v>
      </c>
      <c r="NJ40" s="9">
        <f t="shared" si="128"/>
        <v>273980</v>
      </c>
      <c r="NK40" s="9">
        <f t="shared" si="128"/>
        <v>273980</v>
      </c>
      <c r="NL40" s="25">
        <f t="shared" si="90"/>
        <v>3287760</v>
      </c>
      <c r="NM40" s="9">
        <f>SUM(NM6:NM39)</f>
        <v>7500</v>
      </c>
      <c r="NN40" s="9">
        <f t="shared" ref="NN40:NX40" si="129">SUM(NN6:NN39)</f>
        <v>7500</v>
      </c>
      <c r="NO40" s="9">
        <f t="shared" si="129"/>
        <v>7500</v>
      </c>
      <c r="NP40" s="9">
        <f t="shared" si="129"/>
        <v>7500</v>
      </c>
      <c r="NQ40" s="9">
        <f t="shared" si="129"/>
        <v>7500</v>
      </c>
      <c r="NR40" s="9">
        <f t="shared" si="129"/>
        <v>7500</v>
      </c>
      <c r="NS40" s="9">
        <f t="shared" si="129"/>
        <v>7500</v>
      </c>
      <c r="NT40" s="9">
        <f t="shared" si="129"/>
        <v>7500</v>
      </c>
      <c r="NU40" s="9">
        <f t="shared" si="129"/>
        <v>7500</v>
      </c>
      <c r="NV40" s="9">
        <f t="shared" si="129"/>
        <v>7500</v>
      </c>
      <c r="NW40" s="9">
        <f t="shared" si="129"/>
        <v>7500</v>
      </c>
      <c r="NX40" s="9">
        <f t="shared" si="129"/>
        <v>7500</v>
      </c>
      <c r="NY40" s="25">
        <f t="shared" si="91"/>
        <v>90000</v>
      </c>
      <c r="NZ40" s="9">
        <f>SUM(NZ6:NZ39)</f>
        <v>4672</v>
      </c>
      <c r="OA40" s="9">
        <f t="shared" ref="OA40:OK40" si="130">SUM(OA6:OA39)</f>
        <v>4672</v>
      </c>
      <c r="OB40" s="9">
        <f t="shared" si="130"/>
        <v>4672</v>
      </c>
      <c r="OC40" s="9">
        <f t="shared" si="130"/>
        <v>4672</v>
      </c>
      <c r="OD40" s="9">
        <f t="shared" si="130"/>
        <v>4672</v>
      </c>
      <c r="OE40" s="9">
        <f t="shared" si="130"/>
        <v>4672</v>
      </c>
      <c r="OF40" s="9">
        <f t="shared" si="130"/>
        <v>5994</v>
      </c>
      <c r="OG40" s="9">
        <f t="shared" si="130"/>
        <v>5190</v>
      </c>
      <c r="OH40" s="9">
        <f t="shared" si="130"/>
        <v>4902</v>
      </c>
      <c r="OI40" s="9">
        <f t="shared" si="130"/>
        <v>4902</v>
      </c>
      <c r="OJ40" s="9">
        <f t="shared" si="130"/>
        <v>4902</v>
      </c>
      <c r="OK40" s="9">
        <f t="shared" si="130"/>
        <v>4902</v>
      </c>
      <c r="OL40" s="25">
        <f t="shared" si="92"/>
        <v>58824</v>
      </c>
      <c r="OM40" s="25">
        <f t="shared" si="93"/>
        <v>3436584</v>
      </c>
      <c r="ON40" s="9">
        <f>SUM(ON6:ON39)</f>
        <v>15500</v>
      </c>
      <c r="OO40" s="9">
        <f t="shared" ref="OO40" si="131">SUM(OO6:OO39)</f>
        <v>15500</v>
      </c>
      <c r="OP40" s="9">
        <f t="shared" ref="OP40" si="132">SUM(OP6:OP39)</f>
        <v>15500</v>
      </c>
      <c r="OQ40" s="9">
        <f t="shared" ref="OQ40" si="133">SUM(OQ6:OQ39)</f>
        <v>15500</v>
      </c>
      <c r="OR40" s="9">
        <f t="shared" ref="OR40" si="134">SUM(OR6:OR39)</f>
        <v>15500</v>
      </c>
      <c r="OS40" s="9">
        <f t="shared" ref="OS40" si="135">SUM(OS6:OS39)</f>
        <v>15500</v>
      </c>
      <c r="OT40" s="9">
        <f t="shared" ref="OT40" si="136">SUM(OT6:OT39)</f>
        <v>15500</v>
      </c>
      <c r="OU40" s="9">
        <f t="shared" ref="OU40" si="137">SUM(OU6:OU39)</f>
        <v>15500</v>
      </c>
      <c r="OV40" s="9">
        <f t="shared" ref="OV40" si="138">SUM(OV6:OV39)</f>
        <v>15500</v>
      </c>
      <c r="OW40" s="9">
        <f t="shared" ref="OW40" si="139">SUM(OW6:OW39)</f>
        <v>15500</v>
      </c>
      <c r="OX40" s="9">
        <f t="shared" ref="OX40" si="140">SUM(OX6:OX39)</f>
        <v>15500</v>
      </c>
      <c r="OY40" s="9">
        <f t="shared" ref="OY40" si="141">SUM(OY6:OY39)</f>
        <v>15500</v>
      </c>
      <c r="OZ40" s="25">
        <f t="shared" si="94"/>
        <v>186000</v>
      </c>
      <c r="PA40" s="9">
        <f>SUM(PA6:PA39)</f>
        <v>11200</v>
      </c>
      <c r="PB40" s="9">
        <f t="shared" ref="PB40:PL40" si="142">SUM(PB6:PB39)</f>
        <v>11200</v>
      </c>
      <c r="PC40" s="9">
        <f t="shared" si="142"/>
        <v>11200</v>
      </c>
      <c r="PD40" s="9">
        <f t="shared" si="142"/>
        <v>11200</v>
      </c>
      <c r="PE40" s="9">
        <f t="shared" si="142"/>
        <v>11200</v>
      </c>
      <c r="PF40" s="9">
        <f t="shared" si="142"/>
        <v>11200</v>
      </c>
      <c r="PG40" s="9">
        <f t="shared" si="142"/>
        <v>11200</v>
      </c>
      <c r="PH40" s="9">
        <f t="shared" si="142"/>
        <v>11200</v>
      </c>
      <c r="PI40" s="9">
        <f t="shared" si="142"/>
        <v>11200</v>
      </c>
      <c r="PJ40" s="9">
        <f t="shared" si="142"/>
        <v>11200</v>
      </c>
      <c r="PK40" s="9">
        <f t="shared" si="142"/>
        <v>11200</v>
      </c>
      <c r="PL40" s="9">
        <f t="shared" si="142"/>
        <v>11200</v>
      </c>
      <c r="PM40" s="25">
        <f t="shared" si="95"/>
        <v>134400</v>
      </c>
      <c r="PN40" s="9">
        <f>SUM(PN6:PN39)</f>
        <v>5600</v>
      </c>
      <c r="PO40" s="9">
        <f t="shared" ref="PO40:PY40" si="143">SUM(PO6:PO39)</f>
        <v>5600</v>
      </c>
      <c r="PP40" s="9">
        <f t="shared" si="143"/>
        <v>5600</v>
      </c>
      <c r="PQ40" s="9">
        <f t="shared" si="143"/>
        <v>5600</v>
      </c>
      <c r="PR40" s="9">
        <f t="shared" si="143"/>
        <v>5600</v>
      </c>
      <c r="PS40" s="9">
        <f t="shared" si="143"/>
        <v>5600</v>
      </c>
      <c r="PT40" s="9">
        <f t="shared" si="143"/>
        <v>5600</v>
      </c>
      <c r="PU40" s="9">
        <f t="shared" si="143"/>
        <v>5600</v>
      </c>
      <c r="PV40" s="9">
        <f t="shared" si="143"/>
        <v>5600</v>
      </c>
      <c r="PW40" s="9">
        <f t="shared" si="143"/>
        <v>5600</v>
      </c>
      <c r="PX40" s="9">
        <f t="shared" si="143"/>
        <v>5600</v>
      </c>
      <c r="PY40" s="9">
        <f t="shared" si="143"/>
        <v>5600</v>
      </c>
      <c r="PZ40" s="25">
        <f>SUM(PN40:PY40)</f>
        <v>67200</v>
      </c>
      <c r="QA40" s="9">
        <f>SUM(QA6:QA39)</f>
        <v>0</v>
      </c>
      <c r="QB40" s="9">
        <f t="shared" ref="QB40:QL40" si="144">SUM(QB6:QB39)</f>
        <v>0</v>
      </c>
      <c r="QC40" s="9">
        <f t="shared" si="144"/>
        <v>99716.13</v>
      </c>
      <c r="QD40" s="9">
        <f t="shared" si="144"/>
        <v>5600</v>
      </c>
      <c r="QE40" s="9">
        <f t="shared" si="144"/>
        <v>5600</v>
      </c>
      <c r="QF40" s="9">
        <f t="shared" si="144"/>
        <v>104954.84</v>
      </c>
      <c r="QG40" s="9">
        <f t="shared" si="144"/>
        <v>11200</v>
      </c>
      <c r="QH40" s="9">
        <f t="shared" si="144"/>
        <v>11200</v>
      </c>
      <c r="QI40" s="9">
        <f t="shared" si="144"/>
        <v>11200</v>
      </c>
      <c r="QJ40" s="9">
        <f t="shared" si="144"/>
        <v>11200</v>
      </c>
      <c r="QK40" s="9">
        <f t="shared" si="144"/>
        <v>11200</v>
      </c>
      <c r="QL40" s="9">
        <f t="shared" si="144"/>
        <v>11200</v>
      </c>
      <c r="QM40" s="25">
        <f>SUM(QA40:QL40)</f>
        <v>283070.96999999997</v>
      </c>
      <c r="QN40" s="9">
        <f>SUM(QN6:QN39)</f>
        <v>0</v>
      </c>
      <c r="QO40" s="9">
        <f t="shared" ref="QO40:QY40" si="145">SUM(QO6:QO39)</f>
        <v>0</v>
      </c>
      <c r="QP40" s="9">
        <f t="shared" si="145"/>
        <v>0</v>
      </c>
      <c r="QQ40" s="9">
        <f t="shared" si="145"/>
        <v>0</v>
      </c>
      <c r="QR40" s="9">
        <f t="shared" si="145"/>
        <v>0</v>
      </c>
      <c r="QS40" s="9">
        <f t="shared" si="145"/>
        <v>0</v>
      </c>
      <c r="QT40" s="9">
        <f t="shared" si="145"/>
        <v>0</v>
      </c>
      <c r="QU40" s="9">
        <f t="shared" si="145"/>
        <v>102480</v>
      </c>
      <c r="QV40" s="9">
        <f t="shared" si="145"/>
        <v>5600</v>
      </c>
      <c r="QW40" s="9">
        <f t="shared" si="145"/>
        <v>5600</v>
      </c>
      <c r="QX40" s="9">
        <f t="shared" si="145"/>
        <v>5600</v>
      </c>
      <c r="QY40" s="9">
        <f t="shared" si="145"/>
        <v>5600</v>
      </c>
      <c r="QZ40" s="25">
        <f>SUM(QN40:QY40)</f>
        <v>124880</v>
      </c>
      <c r="RA40" s="25">
        <f>+OZ40+PM40+PZ40+QM40+QZ40</f>
        <v>795550.97</v>
      </c>
      <c r="RB40" s="26">
        <f>+AQ40+CE40+DS40+FG40+GU40+II40+JW40+LK40+MY40+OM40+RA40</f>
        <v>34621487.200000003</v>
      </c>
      <c r="RC40" s="85">
        <f>SUM(RC6:RC39)</f>
        <v>34621487.200000003</v>
      </c>
    </row>
    <row r="41" spans="1:471" ht="21.75" thickTop="1" x14ac:dyDescent="0.35"/>
    <row r="42" spans="1:471" hidden="1" x14ac:dyDescent="0.35">
      <c r="A42" s="1" t="s">
        <v>301</v>
      </c>
    </row>
    <row r="43" spans="1:471" hidden="1" x14ac:dyDescent="0.35">
      <c r="A43" s="71" t="s">
        <v>297</v>
      </c>
      <c r="J43" s="1">
        <f>41820+6120</f>
        <v>47940</v>
      </c>
      <c r="AJ43" s="1">
        <v>1000</v>
      </c>
      <c r="AX43" s="1">
        <f>78780+7260</f>
        <v>86040</v>
      </c>
      <c r="BX43" s="1">
        <v>2070</v>
      </c>
      <c r="CL43" s="1">
        <v>47280</v>
      </c>
      <c r="DL43" s="1">
        <v>1416</v>
      </c>
      <c r="DZ43" s="1">
        <v>68220</v>
      </c>
      <c r="EZ43" s="1">
        <v>1758</v>
      </c>
      <c r="FN43" s="1">
        <v>75900</v>
      </c>
      <c r="GN43" s="1">
        <v>2286</v>
      </c>
      <c r="GX43" s="1">
        <v>12350</v>
      </c>
      <c r="HB43" s="1">
        <v>67740</v>
      </c>
      <c r="HK43" s="1">
        <v>618</v>
      </c>
      <c r="IB43" s="1">
        <v>2040</v>
      </c>
      <c r="IP43" s="1">
        <f>61855+26879.23</f>
        <v>88734.23</v>
      </c>
      <c r="IS43" s="1">
        <v>7350</v>
      </c>
      <c r="JP43" s="1">
        <v>1668</v>
      </c>
      <c r="JS43" s="1">
        <v>222</v>
      </c>
      <c r="KD43" s="1">
        <v>76320</v>
      </c>
      <c r="LD43" s="1">
        <v>2292</v>
      </c>
      <c r="LN43" s="1">
        <v>5250</v>
      </c>
      <c r="LR43" s="1">
        <v>62400</v>
      </c>
      <c r="MA43" s="1">
        <v>20</v>
      </c>
      <c r="MR43" s="1">
        <v>1104</v>
      </c>
      <c r="NF43" s="1">
        <v>43740</v>
      </c>
      <c r="OF43" s="1">
        <v>1092</v>
      </c>
      <c r="QC43" s="1">
        <f>82916.13+11200</f>
        <v>94116.13</v>
      </c>
      <c r="QF43" s="1">
        <v>93754.84</v>
      </c>
      <c r="QU43" s="1">
        <v>96880</v>
      </c>
    </row>
    <row r="44" spans="1:471" hidden="1" x14ac:dyDescent="0.35">
      <c r="A44" s="1" t="s">
        <v>302</v>
      </c>
    </row>
    <row r="45" spans="1:471" hidden="1" x14ac:dyDescent="0.35">
      <c r="A45" s="1" t="s">
        <v>298</v>
      </c>
      <c r="NG45" s="1">
        <f>21960+6120</f>
        <v>28080</v>
      </c>
      <c r="OG45" s="1">
        <v>288</v>
      </c>
    </row>
    <row r="46" spans="1:471" hidden="1" x14ac:dyDescent="0.35">
      <c r="A46" s="53" t="s">
        <v>115</v>
      </c>
    </row>
    <row r="47" spans="1:471" hidden="1" x14ac:dyDescent="0.35"/>
    <row r="48" spans="1:471" hidden="1" x14ac:dyDescent="0.35"/>
  </sheetData>
  <mergeCells count="65">
    <mergeCell ref="NZ4:OL4"/>
    <mergeCell ref="LK4:LK5"/>
    <mergeCell ref="MY4:MY5"/>
    <mergeCell ref="OM4:OM5"/>
    <mergeCell ref="RB3:RB4"/>
    <mergeCell ref="ON4:OZ4"/>
    <mergeCell ref="LL3:MY3"/>
    <mergeCell ref="QN3:QZ3"/>
    <mergeCell ref="QN4:QZ4"/>
    <mergeCell ref="RA4:RA5"/>
    <mergeCell ref="QA3:QM3"/>
    <mergeCell ref="QA4:QM4"/>
    <mergeCell ref="ON3:OZ3"/>
    <mergeCell ref="DT3:FG3"/>
    <mergeCell ref="FH3:GU3"/>
    <mergeCell ref="GV3:II3"/>
    <mergeCell ref="IJ3:JW3"/>
    <mergeCell ref="JX3:LK3"/>
    <mergeCell ref="JX4:KJ4"/>
    <mergeCell ref="EG4:ES4"/>
    <mergeCell ref="ET4:FF4"/>
    <mergeCell ref="FH4:FT4"/>
    <mergeCell ref="FU4:GG4"/>
    <mergeCell ref="GH4:GT4"/>
    <mergeCell ref="GV4:HH4"/>
    <mergeCell ref="HI4:HU4"/>
    <mergeCell ref="A1:F1"/>
    <mergeCell ref="A3:A4"/>
    <mergeCell ref="B3:B4"/>
    <mergeCell ref="D3:AQ3"/>
    <mergeCell ref="AR3:CE3"/>
    <mergeCell ref="BE4:BQ4"/>
    <mergeCell ref="BR4:CD4"/>
    <mergeCell ref="D4:P4"/>
    <mergeCell ref="Q4:AC4"/>
    <mergeCell ref="AD4:AP4"/>
    <mergeCell ref="AR4:BD4"/>
    <mergeCell ref="AQ4:AQ5"/>
    <mergeCell ref="CE4:CE5"/>
    <mergeCell ref="CF4:CR4"/>
    <mergeCell ref="PA3:PM3"/>
    <mergeCell ref="PA4:PM4"/>
    <mergeCell ref="PN3:PZ3"/>
    <mergeCell ref="PN4:PZ4"/>
    <mergeCell ref="CF3:DS3"/>
    <mergeCell ref="CS4:DE4"/>
    <mergeCell ref="DF4:DR4"/>
    <mergeCell ref="DT4:EF4"/>
    <mergeCell ref="MZ3:OM3"/>
    <mergeCell ref="HV4:IH4"/>
    <mergeCell ref="IJ4:IV4"/>
    <mergeCell ref="IW4:JI4"/>
    <mergeCell ref="JJ4:JV4"/>
    <mergeCell ref="MZ4:NL4"/>
    <mergeCell ref="NM4:NY4"/>
    <mergeCell ref="DS4:DS5"/>
    <mergeCell ref="FG4:FG5"/>
    <mergeCell ref="GU4:GU5"/>
    <mergeCell ref="II4:II5"/>
    <mergeCell ref="JW4:JW5"/>
    <mergeCell ref="KK4:KW4"/>
    <mergeCell ref="KX4:LJ4"/>
    <mergeCell ref="LL4:LX4"/>
    <mergeCell ref="LY4:MK4"/>
    <mergeCell ref="ML4:MX4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N47"/>
  <sheetViews>
    <sheetView showGridLines="0" zoomScale="70" zoomScaleNormal="70" workbookViewId="0">
      <pane xSplit="3" ySplit="6" topLeftCell="LK34" activePane="bottomRight" state="frozen"/>
      <selection pane="topRight" activeCell="D1" sqref="D1"/>
      <selection pane="bottomLeft" activeCell="A7" sqref="A7"/>
      <selection pane="bottomRight" activeCell="A42" sqref="A42:XFD47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1.125" style="1" hidden="1" customWidth="1"/>
    <col min="29" max="29" width="11.25" style="1" bestFit="1" customWidth="1"/>
    <col min="30" max="30" width="7.375" style="1" hidden="1" customWidth="1"/>
    <col min="31" max="32" width="9.25" style="1" hidden="1" customWidth="1"/>
    <col min="33" max="41" width="11.125" style="1" hidden="1" customWidth="1"/>
    <col min="42" max="42" width="11.25" style="1" bestFit="1" customWidth="1"/>
    <col min="43" max="43" width="14.125" style="1" bestFit="1" customWidth="1"/>
    <col min="44" max="55" width="13.875" style="1" hidden="1" customWidth="1"/>
    <col min="56" max="56" width="14.125" style="1" bestFit="1" customWidth="1"/>
    <col min="57" max="68" width="11.125" style="1" hidden="1" customWidth="1"/>
    <col min="69" max="69" width="11.25" style="1" bestFit="1" customWidth="1"/>
    <col min="70" max="81" width="11.125" style="1" hidden="1" customWidth="1"/>
    <col min="82" max="82" width="11.25" style="1" bestFit="1" customWidth="1"/>
    <col min="83" max="83" width="14.125" style="1" bestFit="1" customWidth="1"/>
    <col min="84" max="95" width="12.375" style="1" hidden="1" customWidth="1"/>
    <col min="96" max="96" width="12.375" style="1" bestFit="1" customWidth="1"/>
    <col min="97" max="108" width="11.125" style="1" hidden="1" customWidth="1"/>
    <col min="109" max="109" width="11.25" style="1" bestFit="1" customWidth="1"/>
    <col min="110" max="121" width="11.125" style="1" hidden="1" customWidth="1"/>
    <col min="122" max="122" width="11.25" style="1" bestFit="1" customWidth="1"/>
    <col min="123" max="123" width="12.375" style="1" bestFit="1" customWidth="1"/>
    <col min="124" max="135" width="13.875" style="1" hidden="1" customWidth="1"/>
    <col min="136" max="136" width="14.125" style="1" bestFit="1" customWidth="1"/>
    <col min="137" max="148" width="11.125" style="1" hidden="1" customWidth="1"/>
    <col min="149" max="149" width="11.25" style="1" bestFit="1" customWidth="1"/>
    <col min="150" max="161" width="11.125" style="1" hidden="1" customWidth="1"/>
    <col min="162" max="162" width="11.25" style="1" bestFit="1" customWidth="1"/>
    <col min="163" max="163" width="14.125" style="1" bestFit="1" customWidth="1"/>
    <col min="164" max="175" width="13.875" style="1" hidden="1" customWidth="1"/>
    <col min="176" max="176" width="14.125" style="1" bestFit="1" customWidth="1"/>
    <col min="177" max="188" width="11.125" style="1" hidden="1" customWidth="1"/>
    <col min="189" max="189" width="11.25" style="1" bestFit="1" customWidth="1"/>
    <col min="190" max="201" width="11.125" style="1" hidden="1" customWidth="1"/>
    <col min="202" max="202" width="11.25" style="1" bestFit="1" customWidth="1"/>
    <col min="203" max="203" width="14.125" style="1" bestFit="1" customWidth="1"/>
    <col min="204" max="215" width="13.875" style="1" hidden="1" customWidth="1"/>
    <col min="216" max="216" width="14.125" style="1" bestFit="1" customWidth="1"/>
    <col min="217" max="228" width="11.125" style="1" hidden="1" customWidth="1"/>
    <col min="229" max="229" width="11.25" style="1" bestFit="1" customWidth="1"/>
    <col min="230" max="241" width="11.125" style="1" hidden="1" customWidth="1"/>
    <col min="242" max="242" width="11.25" style="1" bestFit="1" customWidth="1"/>
    <col min="243" max="243" width="14.125" style="1" bestFit="1" customWidth="1"/>
    <col min="244" max="255" width="13.875" style="1" hidden="1" customWidth="1"/>
    <col min="256" max="256" width="14.125" style="1" bestFit="1" customWidth="1"/>
    <col min="257" max="268" width="11.125" style="1" hidden="1" customWidth="1"/>
    <col min="269" max="269" width="11.25" style="1" bestFit="1" customWidth="1"/>
    <col min="270" max="281" width="11.125" style="1" hidden="1" customWidth="1"/>
    <col min="282" max="282" width="11.25" style="1" bestFit="1" customWidth="1"/>
    <col min="283" max="283" width="14.125" style="1" bestFit="1" customWidth="1"/>
    <col min="284" max="284" width="13.875" style="1" hidden="1" customWidth="1"/>
    <col min="285" max="289" width="12.375" style="1" hidden="1" customWidth="1"/>
    <col min="290" max="290" width="13.875" style="1" hidden="1" customWidth="1"/>
    <col min="291" max="291" width="12.375" style="1" hidden="1" customWidth="1"/>
    <col min="292" max="295" width="13.875" style="1" hidden="1" customWidth="1"/>
    <col min="296" max="296" width="14.125" style="1" bestFit="1" customWidth="1"/>
    <col min="297" max="308" width="11.125" style="1" hidden="1" customWidth="1"/>
    <col min="309" max="309" width="11.25" style="1" bestFit="1" customWidth="1"/>
    <col min="310" max="321" width="11.125" style="1" hidden="1" customWidth="1"/>
    <col min="322" max="322" width="11.25" style="1" bestFit="1" customWidth="1"/>
    <col min="323" max="323" width="14.125" style="1" bestFit="1" customWidth="1"/>
    <col min="324" max="335" width="13.875" style="1" hidden="1" customWidth="1"/>
    <col min="336" max="336" width="14.125" style="1" bestFit="1" customWidth="1"/>
    <col min="337" max="348" width="11.125" style="1" hidden="1" customWidth="1"/>
    <col min="349" max="349" width="11.25" style="1" bestFit="1" customWidth="1"/>
    <col min="350" max="361" width="11.125" style="1" hidden="1" customWidth="1"/>
    <col min="362" max="362" width="11.25" style="1" bestFit="1" customWidth="1"/>
    <col min="363" max="363" width="14.125" style="1" bestFit="1" customWidth="1"/>
    <col min="364" max="369" width="12.375" style="1" hidden="1" customWidth="1"/>
    <col min="370" max="370" width="11.125" style="1" hidden="1" customWidth="1"/>
    <col min="371" max="374" width="12.375" style="1" hidden="1" customWidth="1"/>
    <col min="375" max="375" width="13.875" style="1" hidden="1" customWidth="1"/>
    <col min="376" max="376" width="12.375" style="1" bestFit="1" customWidth="1"/>
    <col min="377" max="382" width="12.375" style="1" hidden="1" customWidth="1"/>
    <col min="383" max="383" width="11.125" style="1" hidden="1" customWidth="1"/>
    <col min="384" max="387" width="12.375" style="1" hidden="1" customWidth="1"/>
    <col min="388" max="388" width="13.875" style="1" hidden="1" customWidth="1"/>
    <col min="389" max="389" width="12.375" style="1" bestFit="1" customWidth="1"/>
    <col min="390" max="395" width="12.375" style="1" hidden="1" customWidth="1"/>
    <col min="396" max="396" width="11.125" style="1" hidden="1" customWidth="1"/>
    <col min="397" max="400" width="12.375" style="1" hidden="1" customWidth="1"/>
    <col min="401" max="401" width="13.875" style="1" hidden="1" customWidth="1"/>
    <col min="402" max="402" width="12.375" style="1" bestFit="1" customWidth="1"/>
    <col min="403" max="403" width="12.375" style="1" customWidth="1"/>
    <col min="404" max="404" width="15.25" style="1" bestFit="1" customWidth="1"/>
    <col min="405" max="16384" width="9" style="1"/>
  </cols>
  <sheetData>
    <row r="1" spans="1:404" x14ac:dyDescent="0.35">
      <c r="A1" s="97" t="s">
        <v>55</v>
      </c>
      <c r="B1" s="98"/>
      <c r="C1" s="98"/>
      <c r="D1" s="98"/>
      <c r="E1" s="98"/>
      <c r="F1" s="98"/>
    </row>
    <row r="2" spans="1:404" s="12" customFormat="1" x14ac:dyDescent="0.35">
      <c r="A2" s="23"/>
      <c r="B2" s="23"/>
      <c r="C2" s="23"/>
      <c r="D2" s="23"/>
      <c r="E2" s="23"/>
      <c r="F2" s="23"/>
    </row>
    <row r="3" spans="1:404" s="2" customFormat="1" x14ac:dyDescent="0.35">
      <c r="A3" s="92" t="s">
        <v>0</v>
      </c>
      <c r="B3" s="92" t="s">
        <v>14</v>
      </c>
      <c r="C3" s="20"/>
      <c r="D3" s="89" t="s">
        <v>57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58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59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60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282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61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1"/>
      <c r="IJ3" s="89" t="s">
        <v>62</v>
      </c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1"/>
      <c r="JX3" s="89" t="s">
        <v>63</v>
      </c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1"/>
      <c r="LL3" s="89" t="s">
        <v>56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 t="s">
        <v>63</v>
      </c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1"/>
      <c r="NM3" s="89" t="s">
        <v>61</v>
      </c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1"/>
      <c r="NZ3" s="89" t="s">
        <v>282</v>
      </c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1"/>
      <c r="OM3" s="29"/>
      <c r="ON3" s="92" t="s">
        <v>16</v>
      </c>
    </row>
    <row r="4" spans="1:404" s="2" customFormat="1" x14ac:dyDescent="0.35">
      <c r="A4" s="93"/>
      <c r="B4" s="93"/>
      <c r="C4" s="2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89" t="s">
        <v>87</v>
      </c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1"/>
      <c r="NM4" s="89" t="s">
        <v>87</v>
      </c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1"/>
      <c r="NZ4" s="89" t="s">
        <v>87</v>
      </c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1"/>
      <c r="OM4" s="87" t="s">
        <v>227</v>
      </c>
      <c r="ON4" s="93"/>
    </row>
    <row r="5" spans="1:404" s="2" customFormat="1" x14ac:dyDescent="0.35">
      <c r="A5" s="21"/>
      <c r="B5" s="21"/>
      <c r="C5" s="2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C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 t="shared" si="2"/>
        <v>ก.ย.</v>
      </c>
      <c r="BD5" s="17" t="s">
        <v>16</v>
      </c>
      <c r="BE5" s="16" t="str">
        <f>+AR5</f>
        <v>ต.ค.</v>
      </c>
      <c r="BF5" s="16" t="str">
        <f t="shared" ref="BF5:BP5" si="3">+AS5</f>
        <v>พ.ย.</v>
      </c>
      <c r="BG5" s="16" t="str">
        <f t="shared" si="3"/>
        <v>ธ.ค.</v>
      </c>
      <c r="BH5" s="16" t="str">
        <f t="shared" si="3"/>
        <v>ม.ค.</v>
      </c>
      <c r="BI5" s="16" t="str">
        <f t="shared" si="3"/>
        <v>ก.พ.</v>
      </c>
      <c r="BJ5" s="16" t="str">
        <f t="shared" si="3"/>
        <v>มี.ค.</v>
      </c>
      <c r="BK5" s="16" t="str">
        <f t="shared" si="3"/>
        <v>เม.ย.</v>
      </c>
      <c r="BL5" s="16" t="str">
        <f t="shared" si="3"/>
        <v>พ.ค.</v>
      </c>
      <c r="BM5" s="16" t="str">
        <f t="shared" si="3"/>
        <v>มิ.ย.</v>
      </c>
      <c r="BN5" s="16" t="str">
        <f t="shared" si="3"/>
        <v>ก.ค.</v>
      </c>
      <c r="BO5" s="16" t="str">
        <f t="shared" si="3"/>
        <v>ส.ค.</v>
      </c>
      <c r="BP5" s="16" t="str">
        <f t="shared" si="3"/>
        <v>ก.ย.</v>
      </c>
      <c r="BQ5" s="17" t="s">
        <v>16</v>
      </c>
      <c r="BR5" s="16" t="str">
        <f>+BE5</f>
        <v>ต.ค.</v>
      </c>
      <c r="BS5" s="16" t="str">
        <f t="shared" ref="BS5:CC5" si="4">+BF5</f>
        <v>พ.ย.</v>
      </c>
      <c r="BT5" s="16" t="str">
        <f t="shared" si="4"/>
        <v>ธ.ค.</v>
      </c>
      <c r="BU5" s="16" t="str">
        <f t="shared" si="4"/>
        <v>ม.ค.</v>
      </c>
      <c r="BV5" s="16" t="str">
        <f t="shared" si="4"/>
        <v>ก.พ.</v>
      </c>
      <c r="BW5" s="16" t="str">
        <f t="shared" si="4"/>
        <v>มี.ค.</v>
      </c>
      <c r="BX5" s="16" t="str">
        <f t="shared" si="4"/>
        <v>เม.ย.</v>
      </c>
      <c r="BY5" s="16" t="str">
        <f t="shared" si="4"/>
        <v>พ.ค.</v>
      </c>
      <c r="BZ5" s="16" t="str">
        <f t="shared" si="4"/>
        <v>มิ.ย.</v>
      </c>
      <c r="CA5" s="16" t="str">
        <f t="shared" si="4"/>
        <v>ก.ค.</v>
      </c>
      <c r="CB5" s="16" t="str">
        <f t="shared" si="4"/>
        <v>ส.ค.</v>
      </c>
      <c r="CC5" s="16" t="str">
        <f t="shared" si="4"/>
        <v>ก.ย.</v>
      </c>
      <c r="CD5" s="17" t="s">
        <v>16</v>
      </c>
      <c r="CE5" s="88"/>
      <c r="CF5" s="16" t="str">
        <f>+BR5</f>
        <v>ต.ค.</v>
      </c>
      <c r="CG5" s="16" t="str">
        <f t="shared" ref="CG5:CQ5" si="5">+BS5</f>
        <v>พ.ย.</v>
      </c>
      <c r="CH5" s="16" t="str">
        <f t="shared" si="5"/>
        <v>ธ.ค.</v>
      </c>
      <c r="CI5" s="16" t="str">
        <f t="shared" si="5"/>
        <v>ม.ค.</v>
      </c>
      <c r="CJ5" s="16" t="str">
        <f t="shared" si="5"/>
        <v>ก.พ.</v>
      </c>
      <c r="CK5" s="16" t="str">
        <f t="shared" si="5"/>
        <v>มี.ค.</v>
      </c>
      <c r="CL5" s="16" t="str">
        <f t="shared" si="5"/>
        <v>เม.ย.</v>
      </c>
      <c r="CM5" s="16" t="str">
        <f t="shared" si="5"/>
        <v>พ.ค.</v>
      </c>
      <c r="CN5" s="16" t="str">
        <f t="shared" si="5"/>
        <v>มิ.ย.</v>
      </c>
      <c r="CO5" s="16" t="str">
        <f t="shared" si="5"/>
        <v>ก.ค.</v>
      </c>
      <c r="CP5" s="16" t="str">
        <f t="shared" si="5"/>
        <v>ส.ค.</v>
      </c>
      <c r="CQ5" s="16" t="str">
        <f t="shared" si="5"/>
        <v>ก.ย.</v>
      </c>
      <c r="CR5" s="17" t="s">
        <v>16</v>
      </c>
      <c r="CS5" s="16" t="str">
        <f>+CF5</f>
        <v>ต.ค.</v>
      </c>
      <c r="CT5" s="16" t="str">
        <f t="shared" ref="CT5:DD5" si="6">+CG5</f>
        <v>พ.ย.</v>
      </c>
      <c r="CU5" s="16" t="str">
        <f t="shared" si="6"/>
        <v>ธ.ค.</v>
      </c>
      <c r="CV5" s="16" t="str">
        <f t="shared" si="6"/>
        <v>ม.ค.</v>
      </c>
      <c r="CW5" s="16" t="str">
        <f t="shared" si="6"/>
        <v>ก.พ.</v>
      </c>
      <c r="CX5" s="16" t="str">
        <f t="shared" si="6"/>
        <v>มี.ค.</v>
      </c>
      <c r="CY5" s="16" t="str">
        <f t="shared" si="6"/>
        <v>เม.ย.</v>
      </c>
      <c r="CZ5" s="16" t="str">
        <f t="shared" si="6"/>
        <v>พ.ค.</v>
      </c>
      <c r="DA5" s="16" t="str">
        <f t="shared" si="6"/>
        <v>มิ.ย.</v>
      </c>
      <c r="DB5" s="16" t="str">
        <f t="shared" si="6"/>
        <v>ก.ค.</v>
      </c>
      <c r="DC5" s="16" t="str">
        <f t="shared" si="6"/>
        <v>ส.ค.</v>
      </c>
      <c r="DD5" s="16" t="str">
        <f t="shared" si="6"/>
        <v>ก.ย.</v>
      </c>
      <c r="DE5" s="17" t="s">
        <v>16</v>
      </c>
      <c r="DF5" s="16" t="str">
        <f>+CS5</f>
        <v>ต.ค.</v>
      </c>
      <c r="DG5" s="16" t="str">
        <f t="shared" ref="DG5:DQ5" si="7">+CT5</f>
        <v>พ.ย.</v>
      </c>
      <c r="DH5" s="16" t="str">
        <f t="shared" si="7"/>
        <v>ธ.ค.</v>
      </c>
      <c r="DI5" s="16" t="str">
        <f t="shared" si="7"/>
        <v>ม.ค.</v>
      </c>
      <c r="DJ5" s="16" t="str">
        <f t="shared" si="7"/>
        <v>ก.พ.</v>
      </c>
      <c r="DK5" s="16" t="str">
        <f t="shared" si="7"/>
        <v>มี.ค.</v>
      </c>
      <c r="DL5" s="16" t="str">
        <f t="shared" si="7"/>
        <v>เม.ย.</v>
      </c>
      <c r="DM5" s="16" t="str">
        <f t="shared" si="7"/>
        <v>พ.ค.</v>
      </c>
      <c r="DN5" s="16" t="str">
        <f t="shared" si="7"/>
        <v>มิ.ย.</v>
      </c>
      <c r="DO5" s="16" t="str">
        <f t="shared" si="7"/>
        <v>ก.ค.</v>
      </c>
      <c r="DP5" s="16" t="str">
        <f t="shared" si="7"/>
        <v>ส.ค.</v>
      </c>
      <c r="DQ5" s="16" t="str">
        <f t="shared" si="7"/>
        <v>ก.ย.</v>
      </c>
      <c r="DR5" s="17" t="s">
        <v>16</v>
      </c>
      <c r="DS5" s="88"/>
      <c r="DT5" s="16" t="str">
        <f>+DF5</f>
        <v>ต.ค.</v>
      </c>
      <c r="DU5" s="16" t="str">
        <f t="shared" ref="DU5:EE5" si="8">+DG5</f>
        <v>พ.ย.</v>
      </c>
      <c r="DV5" s="16" t="str">
        <f t="shared" si="8"/>
        <v>ธ.ค.</v>
      </c>
      <c r="DW5" s="16" t="str">
        <f t="shared" si="8"/>
        <v>ม.ค.</v>
      </c>
      <c r="DX5" s="16" t="str">
        <f t="shared" si="8"/>
        <v>ก.พ.</v>
      </c>
      <c r="DY5" s="16" t="str">
        <f t="shared" si="8"/>
        <v>มี.ค.</v>
      </c>
      <c r="DZ5" s="16" t="str">
        <f t="shared" si="8"/>
        <v>เม.ย.</v>
      </c>
      <c r="EA5" s="16" t="str">
        <f t="shared" si="8"/>
        <v>พ.ค.</v>
      </c>
      <c r="EB5" s="16" t="str">
        <f t="shared" si="8"/>
        <v>มิ.ย.</v>
      </c>
      <c r="EC5" s="16" t="str">
        <f t="shared" si="8"/>
        <v>ก.ค.</v>
      </c>
      <c r="ED5" s="16" t="str">
        <f t="shared" si="8"/>
        <v>ส.ค.</v>
      </c>
      <c r="EE5" s="16" t="str">
        <f t="shared" si="8"/>
        <v>ก.ย.</v>
      </c>
      <c r="EF5" s="17" t="s">
        <v>16</v>
      </c>
      <c r="EG5" s="16" t="str">
        <f>+DT5</f>
        <v>ต.ค.</v>
      </c>
      <c r="EH5" s="16" t="str">
        <f t="shared" ref="EH5:ER5" si="9">+DU5</f>
        <v>พ.ย.</v>
      </c>
      <c r="EI5" s="16" t="str">
        <f t="shared" si="9"/>
        <v>ธ.ค.</v>
      </c>
      <c r="EJ5" s="16" t="str">
        <f t="shared" si="9"/>
        <v>ม.ค.</v>
      </c>
      <c r="EK5" s="16" t="str">
        <f t="shared" si="9"/>
        <v>ก.พ.</v>
      </c>
      <c r="EL5" s="16" t="str">
        <f t="shared" si="9"/>
        <v>มี.ค.</v>
      </c>
      <c r="EM5" s="16" t="str">
        <f t="shared" si="9"/>
        <v>เม.ย.</v>
      </c>
      <c r="EN5" s="16" t="str">
        <f t="shared" si="9"/>
        <v>พ.ค.</v>
      </c>
      <c r="EO5" s="16" t="str">
        <f t="shared" si="9"/>
        <v>มิ.ย.</v>
      </c>
      <c r="EP5" s="16" t="str">
        <f t="shared" si="9"/>
        <v>ก.ค.</v>
      </c>
      <c r="EQ5" s="16" t="str">
        <f t="shared" si="9"/>
        <v>ส.ค.</v>
      </c>
      <c r="ER5" s="16" t="str">
        <f t="shared" si="9"/>
        <v>ก.ย.</v>
      </c>
      <c r="ES5" s="17" t="s">
        <v>16</v>
      </c>
      <c r="ET5" s="16" t="str">
        <f>+EG5</f>
        <v>ต.ค.</v>
      </c>
      <c r="EU5" s="16" t="str">
        <f t="shared" ref="EU5:FE5" si="10">+EH5</f>
        <v>พ.ย.</v>
      </c>
      <c r="EV5" s="16" t="str">
        <f t="shared" si="10"/>
        <v>ธ.ค.</v>
      </c>
      <c r="EW5" s="16" t="str">
        <f t="shared" si="10"/>
        <v>ม.ค.</v>
      </c>
      <c r="EX5" s="16" t="str">
        <f t="shared" si="10"/>
        <v>ก.พ.</v>
      </c>
      <c r="EY5" s="16" t="str">
        <f t="shared" si="10"/>
        <v>มี.ค.</v>
      </c>
      <c r="EZ5" s="16" t="str">
        <f t="shared" si="10"/>
        <v>เม.ย.</v>
      </c>
      <c r="FA5" s="16" t="str">
        <f t="shared" si="10"/>
        <v>พ.ค.</v>
      </c>
      <c r="FB5" s="16" t="str">
        <f t="shared" si="10"/>
        <v>มิ.ย.</v>
      </c>
      <c r="FC5" s="16" t="str">
        <f t="shared" si="10"/>
        <v>ก.ค.</v>
      </c>
      <c r="FD5" s="16" t="str">
        <f t="shared" si="10"/>
        <v>ส.ค.</v>
      </c>
      <c r="FE5" s="16" t="str">
        <f t="shared" si="10"/>
        <v>ก.ย.</v>
      </c>
      <c r="FF5" s="17" t="s">
        <v>16</v>
      </c>
      <c r="FG5" s="88"/>
      <c r="FH5" s="16" t="str">
        <f>+ET5</f>
        <v>ต.ค.</v>
      </c>
      <c r="FI5" s="16" t="str">
        <f t="shared" ref="FI5:FS5" si="11">+EU5</f>
        <v>พ.ย.</v>
      </c>
      <c r="FJ5" s="16" t="str">
        <f t="shared" si="11"/>
        <v>ธ.ค.</v>
      </c>
      <c r="FK5" s="16" t="str">
        <f t="shared" si="11"/>
        <v>ม.ค.</v>
      </c>
      <c r="FL5" s="16" t="str">
        <f t="shared" si="11"/>
        <v>ก.พ.</v>
      </c>
      <c r="FM5" s="16" t="str">
        <f t="shared" si="11"/>
        <v>มี.ค.</v>
      </c>
      <c r="FN5" s="16" t="str">
        <f t="shared" si="11"/>
        <v>เม.ย.</v>
      </c>
      <c r="FO5" s="16" t="str">
        <f t="shared" si="11"/>
        <v>พ.ค.</v>
      </c>
      <c r="FP5" s="16" t="str">
        <f t="shared" si="11"/>
        <v>มิ.ย.</v>
      </c>
      <c r="FQ5" s="16" t="str">
        <f t="shared" si="11"/>
        <v>ก.ค.</v>
      </c>
      <c r="FR5" s="16" t="str">
        <f t="shared" si="11"/>
        <v>ส.ค.</v>
      </c>
      <c r="FS5" s="16" t="str">
        <f t="shared" si="11"/>
        <v>ก.ย.</v>
      </c>
      <c r="FT5" s="17" t="s">
        <v>16</v>
      </c>
      <c r="FU5" s="16" t="str">
        <f>+FH5</f>
        <v>ต.ค.</v>
      </c>
      <c r="FV5" s="16" t="str">
        <f t="shared" ref="FV5:GF5" si="12">+FI5</f>
        <v>พ.ย.</v>
      </c>
      <c r="FW5" s="16" t="str">
        <f t="shared" si="12"/>
        <v>ธ.ค.</v>
      </c>
      <c r="FX5" s="16" t="str">
        <f t="shared" si="12"/>
        <v>ม.ค.</v>
      </c>
      <c r="FY5" s="16" t="str">
        <f t="shared" si="12"/>
        <v>ก.พ.</v>
      </c>
      <c r="FZ5" s="16" t="str">
        <f t="shared" si="12"/>
        <v>มี.ค.</v>
      </c>
      <c r="GA5" s="16" t="str">
        <f t="shared" si="12"/>
        <v>เม.ย.</v>
      </c>
      <c r="GB5" s="16" t="str">
        <f t="shared" si="12"/>
        <v>พ.ค.</v>
      </c>
      <c r="GC5" s="16" t="str">
        <f t="shared" si="12"/>
        <v>มิ.ย.</v>
      </c>
      <c r="GD5" s="16" t="str">
        <f t="shared" si="12"/>
        <v>ก.ค.</v>
      </c>
      <c r="GE5" s="16" t="str">
        <f t="shared" si="12"/>
        <v>ส.ค.</v>
      </c>
      <c r="GF5" s="16" t="str">
        <f t="shared" si="12"/>
        <v>ก.ย.</v>
      </c>
      <c r="GG5" s="17" t="s">
        <v>16</v>
      </c>
      <c r="GH5" s="16" t="str">
        <f>+FU5</f>
        <v>ต.ค.</v>
      </c>
      <c r="GI5" s="16" t="str">
        <f t="shared" ref="GI5:GS5" si="13">+FV5</f>
        <v>พ.ย.</v>
      </c>
      <c r="GJ5" s="16" t="str">
        <f t="shared" si="13"/>
        <v>ธ.ค.</v>
      </c>
      <c r="GK5" s="16" t="str">
        <f t="shared" si="13"/>
        <v>ม.ค.</v>
      </c>
      <c r="GL5" s="16" t="str">
        <f t="shared" si="13"/>
        <v>ก.พ.</v>
      </c>
      <c r="GM5" s="16" t="str">
        <f t="shared" si="13"/>
        <v>มี.ค.</v>
      </c>
      <c r="GN5" s="16" t="str">
        <f t="shared" si="13"/>
        <v>เม.ย.</v>
      </c>
      <c r="GO5" s="16" t="str">
        <f t="shared" si="13"/>
        <v>พ.ค.</v>
      </c>
      <c r="GP5" s="16" t="str">
        <f t="shared" si="13"/>
        <v>มิ.ย.</v>
      </c>
      <c r="GQ5" s="16" t="str">
        <f t="shared" si="13"/>
        <v>ก.ค.</v>
      </c>
      <c r="GR5" s="16" t="str">
        <f t="shared" si="13"/>
        <v>ส.ค.</v>
      </c>
      <c r="GS5" s="16" t="str">
        <f t="shared" si="13"/>
        <v>ก.ย.</v>
      </c>
      <c r="GT5" s="17" t="s">
        <v>16</v>
      </c>
      <c r="GU5" s="88"/>
      <c r="GV5" s="16" t="str">
        <f>+GH5</f>
        <v>ต.ค.</v>
      </c>
      <c r="GW5" s="16" t="str">
        <f t="shared" ref="GW5:HG5" si="14">+GI5</f>
        <v>พ.ย.</v>
      </c>
      <c r="GX5" s="16" t="str">
        <f t="shared" si="14"/>
        <v>ธ.ค.</v>
      </c>
      <c r="GY5" s="16" t="str">
        <f t="shared" si="14"/>
        <v>ม.ค.</v>
      </c>
      <c r="GZ5" s="16" t="str">
        <f t="shared" si="14"/>
        <v>ก.พ.</v>
      </c>
      <c r="HA5" s="16" t="str">
        <f t="shared" si="14"/>
        <v>มี.ค.</v>
      </c>
      <c r="HB5" s="16" t="str">
        <f t="shared" si="14"/>
        <v>เม.ย.</v>
      </c>
      <c r="HC5" s="16" t="str">
        <f t="shared" si="14"/>
        <v>พ.ค.</v>
      </c>
      <c r="HD5" s="16" t="str">
        <f t="shared" si="14"/>
        <v>มิ.ย.</v>
      </c>
      <c r="HE5" s="16" t="str">
        <f t="shared" si="14"/>
        <v>ก.ค.</v>
      </c>
      <c r="HF5" s="16" t="str">
        <f t="shared" si="14"/>
        <v>ส.ค.</v>
      </c>
      <c r="HG5" s="16" t="str">
        <f t="shared" si="14"/>
        <v>ก.ย.</v>
      </c>
      <c r="HH5" s="17" t="s">
        <v>16</v>
      </c>
      <c r="HI5" s="16" t="str">
        <f>+GV5</f>
        <v>ต.ค.</v>
      </c>
      <c r="HJ5" s="16" t="str">
        <f t="shared" ref="HJ5:HT5" si="15">+GW5</f>
        <v>พ.ย.</v>
      </c>
      <c r="HK5" s="16" t="str">
        <f t="shared" si="15"/>
        <v>ธ.ค.</v>
      </c>
      <c r="HL5" s="16" t="str">
        <f t="shared" si="15"/>
        <v>ม.ค.</v>
      </c>
      <c r="HM5" s="16" t="str">
        <f t="shared" si="15"/>
        <v>ก.พ.</v>
      </c>
      <c r="HN5" s="16" t="str">
        <f t="shared" si="15"/>
        <v>มี.ค.</v>
      </c>
      <c r="HO5" s="16" t="str">
        <f t="shared" si="15"/>
        <v>เม.ย.</v>
      </c>
      <c r="HP5" s="16" t="str">
        <f t="shared" si="15"/>
        <v>พ.ค.</v>
      </c>
      <c r="HQ5" s="16" t="str">
        <f t="shared" si="15"/>
        <v>มิ.ย.</v>
      </c>
      <c r="HR5" s="16" t="str">
        <f t="shared" si="15"/>
        <v>ก.ค.</v>
      </c>
      <c r="HS5" s="16" t="str">
        <f t="shared" si="15"/>
        <v>ส.ค.</v>
      </c>
      <c r="HT5" s="16" t="str">
        <f t="shared" si="15"/>
        <v>ก.ย.</v>
      </c>
      <c r="HU5" s="17" t="s">
        <v>16</v>
      </c>
      <c r="HV5" s="16" t="str">
        <f>+HI5</f>
        <v>ต.ค.</v>
      </c>
      <c r="HW5" s="16" t="str">
        <f t="shared" ref="HW5:IG5" si="16">+HJ5</f>
        <v>พ.ย.</v>
      </c>
      <c r="HX5" s="16" t="str">
        <f t="shared" si="16"/>
        <v>ธ.ค.</v>
      </c>
      <c r="HY5" s="16" t="str">
        <f t="shared" si="16"/>
        <v>ม.ค.</v>
      </c>
      <c r="HZ5" s="16" t="str">
        <f t="shared" si="16"/>
        <v>ก.พ.</v>
      </c>
      <c r="IA5" s="16" t="str">
        <f t="shared" si="16"/>
        <v>มี.ค.</v>
      </c>
      <c r="IB5" s="16" t="str">
        <f t="shared" si="16"/>
        <v>เม.ย.</v>
      </c>
      <c r="IC5" s="16" t="str">
        <f t="shared" si="16"/>
        <v>พ.ค.</v>
      </c>
      <c r="ID5" s="16" t="str">
        <f t="shared" si="16"/>
        <v>มิ.ย.</v>
      </c>
      <c r="IE5" s="16" t="str">
        <f t="shared" si="16"/>
        <v>ก.ค.</v>
      </c>
      <c r="IF5" s="16" t="str">
        <f t="shared" si="16"/>
        <v>ส.ค.</v>
      </c>
      <c r="IG5" s="16" t="str">
        <f t="shared" si="16"/>
        <v>ก.ย.</v>
      </c>
      <c r="IH5" s="17" t="s">
        <v>16</v>
      </c>
      <c r="II5" s="88"/>
      <c r="IJ5" s="16" t="str">
        <f>+HV5</f>
        <v>ต.ค.</v>
      </c>
      <c r="IK5" s="16" t="str">
        <f t="shared" ref="IK5:IU5" si="17">+HW5</f>
        <v>พ.ย.</v>
      </c>
      <c r="IL5" s="16" t="str">
        <f t="shared" si="17"/>
        <v>ธ.ค.</v>
      </c>
      <c r="IM5" s="16" t="str">
        <f t="shared" si="17"/>
        <v>ม.ค.</v>
      </c>
      <c r="IN5" s="16" t="str">
        <f t="shared" si="17"/>
        <v>ก.พ.</v>
      </c>
      <c r="IO5" s="16" t="str">
        <f t="shared" si="17"/>
        <v>มี.ค.</v>
      </c>
      <c r="IP5" s="16" t="str">
        <f t="shared" si="17"/>
        <v>เม.ย.</v>
      </c>
      <c r="IQ5" s="16" t="str">
        <f t="shared" si="17"/>
        <v>พ.ค.</v>
      </c>
      <c r="IR5" s="16" t="str">
        <f t="shared" si="17"/>
        <v>มิ.ย.</v>
      </c>
      <c r="IS5" s="16" t="str">
        <f t="shared" si="17"/>
        <v>ก.ค.</v>
      </c>
      <c r="IT5" s="16" t="str">
        <f t="shared" si="17"/>
        <v>ส.ค.</v>
      </c>
      <c r="IU5" s="16" t="str">
        <f t="shared" si="17"/>
        <v>ก.ย.</v>
      </c>
      <c r="IV5" s="17" t="s">
        <v>16</v>
      </c>
      <c r="IW5" s="16" t="str">
        <f>+IJ5</f>
        <v>ต.ค.</v>
      </c>
      <c r="IX5" s="16" t="str">
        <f t="shared" ref="IX5:JH5" si="18">+IK5</f>
        <v>พ.ย.</v>
      </c>
      <c r="IY5" s="16" t="str">
        <f t="shared" si="18"/>
        <v>ธ.ค.</v>
      </c>
      <c r="IZ5" s="16" t="str">
        <f t="shared" si="18"/>
        <v>ม.ค.</v>
      </c>
      <c r="JA5" s="16" t="str">
        <f t="shared" si="18"/>
        <v>ก.พ.</v>
      </c>
      <c r="JB5" s="16" t="str">
        <f t="shared" si="18"/>
        <v>มี.ค.</v>
      </c>
      <c r="JC5" s="16" t="str">
        <f t="shared" si="18"/>
        <v>เม.ย.</v>
      </c>
      <c r="JD5" s="16" t="str">
        <f t="shared" si="18"/>
        <v>พ.ค.</v>
      </c>
      <c r="JE5" s="16" t="str">
        <f t="shared" si="18"/>
        <v>มิ.ย.</v>
      </c>
      <c r="JF5" s="16" t="str">
        <f t="shared" si="18"/>
        <v>ก.ค.</v>
      </c>
      <c r="JG5" s="16" t="str">
        <f t="shared" si="18"/>
        <v>ส.ค.</v>
      </c>
      <c r="JH5" s="16" t="str">
        <f t="shared" si="18"/>
        <v>ก.ย.</v>
      </c>
      <c r="JI5" s="17" t="s">
        <v>16</v>
      </c>
      <c r="JJ5" s="16" t="str">
        <f>+IW5</f>
        <v>ต.ค.</v>
      </c>
      <c r="JK5" s="16" t="str">
        <f t="shared" ref="JK5:JU5" si="19">+IX5</f>
        <v>พ.ย.</v>
      </c>
      <c r="JL5" s="16" t="str">
        <f t="shared" si="19"/>
        <v>ธ.ค.</v>
      </c>
      <c r="JM5" s="16" t="str">
        <f t="shared" si="19"/>
        <v>ม.ค.</v>
      </c>
      <c r="JN5" s="16" t="str">
        <f t="shared" si="19"/>
        <v>ก.พ.</v>
      </c>
      <c r="JO5" s="16" t="str">
        <f t="shared" si="19"/>
        <v>มี.ค.</v>
      </c>
      <c r="JP5" s="16" t="str">
        <f t="shared" si="19"/>
        <v>เม.ย.</v>
      </c>
      <c r="JQ5" s="16" t="str">
        <f t="shared" si="19"/>
        <v>พ.ค.</v>
      </c>
      <c r="JR5" s="16" t="str">
        <f t="shared" si="19"/>
        <v>มิ.ย.</v>
      </c>
      <c r="JS5" s="16" t="str">
        <f t="shared" si="19"/>
        <v>ก.ค.</v>
      </c>
      <c r="JT5" s="16" t="str">
        <f t="shared" si="19"/>
        <v>ส.ค.</v>
      </c>
      <c r="JU5" s="16" t="str">
        <f t="shared" si="19"/>
        <v>ก.ย.</v>
      </c>
      <c r="JV5" s="17" t="s">
        <v>16</v>
      </c>
      <c r="JW5" s="88"/>
      <c r="JX5" s="16" t="str">
        <f>+JJ5</f>
        <v>ต.ค.</v>
      </c>
      <c r="JY5" s="16" t="str">
        <f t="shared" ref="JY5:KI5" si="20">+JK5</f>
        <v>พ.ย.</v>
      </c>
      <c r="JZ5" s="16" t="str">
        <f t="shared" si="20"/>
        <v>ธ.ค.</v>
      </c>
      <c r="KA5" s="16" t="str">
        <f t="shared" si="20"/>
        <v>ม.ค.</v>
      </c>
      <c r="KB5" s="16" t="str">
        <f t="shared" si="20"/>
        <v>ก.พ.</v>
      </c>
      <c r="KC5" s="16" t="str">
        <f t="shared" si="20"/>
        <v>มี.ค.</v>
      </c>
      <c r="KD5" s="16" t="str">
        <f t="shared" si="20"/>
        <v>เม.ย.</v>
      </c>
      <c r="KE5" s="16" t="str">
        <f t="shared" si="20"/>
        <v>พ.ค.</v>
      </c>
      <c r="KF5" s="16" t="str">
        <f t="shared" si="20"/>
        <v>มิ.ย.</v>
      </c>
      <c r="KG5" s="16" t="str">
        <f t="shared" si="20"/>
        <v>ก.ค.</v>
      </c>
      <c r="KH5" s="16" t="str">
        <f t="shared" si="20"/>
        <v>ส.ค.</v>
      </c>
      <c r="KI5" s="16" t="str">
        <f t="shared" si="20"/>
        <v>ก.ย.</v>
      </c>
      <c r="KJ5" s="17" t="s">
        <v>16</v>
      </c>
      <c r="KK5" s="16" t="str">
        <f>+JX5</f>
        <v>ต.ค.</v>
      </c>
      <c r="KL5" s="16" t="str">
        <f t="shared" ref="KL5:KV5" si="21">+JY5</f>
        <v>พ.ย.</v>
      </c>
      <c r="KM5" s="16" t="str">
        <f t="shared" si="21"/>
        <v>ธ.ค.</v>
      </c>
      <c r="KN5" s="16" t="str">
        <f t="shared" si="21"/>
        <v>ม.ค.</v>
      </c>
      <c r="KO5" s="16" t="str">
        <f t="shared" si="21"/>
        <v>ก.พ.</v>
      </c>
      <c r="KP5" s="16" t="str">
        <f t="shared" si="21"/>
        <v>มี.ค.</v>
      </c>
      <c r="KQ5" s="16" t="str">
        <f t="shared" si="21"/>
        <v>เม.ย.</v>
      </c>
      <c r="KR5" s="16" t="str">
        <f t="shared" si="21"/>
        <v>พ.ค.</v>
      </c>
      <c r="KS5" s="16" t="str">
        <f t="shared" si="21"/>
        <v>มิ.ย.</v>
      </c>
      <c r="KT5" s="16" t="str">
        <f t="shared" si="21"/>
        <v>ก.ค.</v>
      </c>
      <c r="KU5" s="16" t="str">
        <f t="shared" si="21"/>
        <v>ส.ค.</v>
      </c>
      <c r="KV5" s="16" t="str">
        <f t="shared" si="21"/>
        <v>ก.ย.</v>
      </c>
      <c r="KW5" s="17" t="s">
        <v>16</v>
      </c>
      <c r="KX5" s="16" t="str">
        <f>+KK5</f>
        <v>ต.ค.</v>
      </c>
      <c r="KY5" s="16" t="str">
        <f t="shared" ref="KY5:LI5" si="22">+KL5</f>
        <v>พ.ย.</v>
      </c>
      <c r="KZ5" s="16" t="str">
        <f t="shared" si="22"/>
        <v>ธ.ค.</v>
      </c>
      <c r="LA5" s="16" t="str">
        <f t="shared" si="22"/>
        <v>ม.ค.</v>
      </c>
      <c r="LB5" s="16" t="str">
        <f t="shared" si="22"/>
        <v>ก.พ.</v>
      </c>
      <c r="LC5" s="16" t="str">
        <f t="shared" si="22"/>
        <v>มี.ค.</v>
      </c>
      <c r="LD5" s="16" t="str">
        <f t="shared" si="22"/>
        <v>เม.ย.</v>
      </c>
      <c r="LE5" s="16" t="str">
        <f t="shared" si="22"/>
        <v>พ.ค.</v>
      </c>
      <c r="LF5" s="16" t="str">
        <f t="shared" si="22"/>
        <v>มิ.ย.</v>
      </c>
      <c r="LG5" s="16" t="str">
        <f t="shared" si="22"/>
        <v>ก.ค.</v>
      </c>
      <c r="LH5" s="16" t="str">
        <f t="shared" si="22"/>
        <v>ส.ค.</v>
      </c>
      <c r="LI5" s="16" t="str">
        <f t="shared" si="22"/>
        <v>ก.ย.</v>
      </c>
      <c r="LJ5" s="17" t="s">
        <v>16</v>
      </c>
      <c r="LK5" s="88"/>
      <c r="LL5" s="16" t="str">
        <f>+KX5</f>
        <v>ต.ค.</v>
      </c>
      <c r="LM5" s="16" t="str">
        <f t="shared" ref="LM5:LW5" si="23">+KY5</f>
        <v>พ.ย.</v>
      </c>
      <c r="LN5" s="16" t="str">
        <f t="shared" si="23"/>
        <v>ธ.ค.</v>
      </c>
      <c r="LO5" s="16" t="str">
        <f t="shared" si="23"/>
        <v>ม.ค.</v>
      </c>
      <c r="LP5" s="16" t="str">
        <f t="shared" si="23"/>
        <v>ก.พ.</v>
      </c>
      <c r="LQ5" s="16" t="str">
        <f t="shared" si="23"/>
        <v>มี.ค.</v>
      </c>
      <c r="LR5" s="16" t="str">
        <f t="shared" si="23"/>
        <v>เม.ย.</v>
      </c>
      <c r="LS5" s="16" t="str">
        <f t="shared" si="23"/>
        <v>พ.ค.</v>
      </c>
      <c r="LT5" s="16" t="str">
        <f t="shared" si="23"/>
        <v>มิ.ย.</v>
      </c>
      <c r="LU5" s="16" t="str">
        <f t="shared" si="23"/>
        <v>ก.ค.</v>
      </c>
      <c r="LV5" s="16" t="str">
        <f t="shared" si="23"/>
        <v>ส.ค.</v>
      </c>
      <c r="LW5" s="16" t="str">
        <f t="shared" si="23"/>
        <v>ก.ย.</v>
      </c>
      <c r="LX5" s="17" t="s">
        <v>16</v>
      </c>
      <c r="LY5" s="16" t="str">
        <f>+LL5</f>
        <v>ต.ค.</v>
      </c>
      <c r="LZ5" s="16" t="str">
        <f t="shared" ref="LZ5:MJ5" si="24">+LM5</f>
        <v>พ.ย.</v>
      </c>
      <c r="MA5" s="16" t="str">
        <f t="shared" si="24"/>
        <v>ธ.ค.</v>
      </c>
      <c r="MB5" s="16" t="str">
        <f t="shared" si="24"/>
        <v>ม.ค.</v>
      </c>
      <c r="MC5" s="16" t="str">
        <f t="shared" si="24"/>
        <v>ก.พ.</v>
      </c>
      <c r="MD5" s="16" t="str">
        <f t="shared" si="24"/>
        <v>มี.ค.</v>
      </c>
      <c r="ME5" s="16" t="str">
        <f t="shared" si="24"/>
        <v>เม.ย.</v>
      </c>
      <c r="MF5" s="16" t="str">
        <f t="shared" si="24"/>
        <v>พ.ค.</v>
      </c>
      <c r="MG5" s="16" t="str">
        <f t="shared" si="24"/>
        <v>มิ.ย.</v>
      </c>
      <c r="MH5" s="16" t="str">
        <f t="shared" si="24"/>
        <v>ก.ค.</v>
      </c>
      <c r="MI5" s="16" t="str">
        <f t="shared" si="24"/>
        <v>ส.ค.</v>
      </c>
      <c r="MJ5" s="16" t="str">
        <f t="shared" si="24"/>
        <v>ก.ย.</v>
      </c>
      <c r="MK5" s="17" t="s">
        <v>16</v>
      </c>
      <c r="ML5" s="16" t="str">
        <f>+LY5</f>
        <v>ต.ค.</v>
      </c>
      <c r="MM5" s="16" t="str">
        <f t="shared" ref="MM5:MW5" si="25">+LZ5</f>
        <v>พ.ย.</v>
      </c>
      <c r="MN5" s="16" t="str">
        <f t="shared" si="25"/>
        <v>ธ.ค.</v>
      </c>
      <c r="MO5" s="16" t="str">
        <f t="shared" si="25"/>
        <v>ม.ค.</v>
      </c>
      <c r="MP5" s="16" t="str">
        <f t="shared" si="25"/>
        <v>ก.พ.</v>
      </c>
      <c r="MQ5" s="16" t="str">
        <f t="shared" si="25"/>
        <v>มี.ค.</v>
      </c>
      <c r="MR5" s="16" t="str">
        <f t="shared" si="25"/>
        <v>เม.ย.</v>
      </c>
      <c r="MS5" s="16" t="str">
        <f t="shared" si="25"/>
        <v>พ.ค.</v>
      </c>
      <c r="MT5" s="16" t="str">
        <f t="shared" si="25"/>
        <v>มิ.ย.</v>
      </c>
      <c r="MU5" s="16" t="str">
        <f t="shared" si="25"/>
        <v>ก.ค.</v>
      </c>
      <c r="MV5" s="16" t="str">
        <f t="shared" si="25"/>
        <v>ส.ค.</v>
      </c>
      <c r="MW5" s="16" t="str">
        <f t="shared" si="25"/>
        <v>ก.ย.</v>
      </c>
      <c r="MX5" s="17" t="s">
        <v>16</v>
      </c>
      <c r="MY5" s="88"/>
      <c r="MZ5" s="16" t="str">
        <f>+ML5</f>
        <v>ต.ค.</v>
      </c>
      <c r="NA5" s="16" t="str">
        <f t="shared" ref="NA5:NK5" si="26">+MM5</f>
        <v>พ.ย.</v>
      </c>
      <c r="NB5" s="16" t="str">
        <f t="shared" si="26"/>
        <v>ธ.ค.</v>
      </c>
      <c r="NC5" s="16" t="str">
        <f t="shared" si="26"/>
        <v>ม.ค.</v>
      </c>
      <c r="ND5" s="16" t="str">
        <f t="shared" si="26"/>
        <v>ก.พ.</v>
      </c>
      <c r="NE5" s="16" t="str">
        <f t="shared" si="26"/>
        <v>มี.ค.</v>
      </c>
      <c r="NF5" s="16" t="str">
        <f t="shared" si="26"/>
        <v>เม.ย.</v>
      </c>
      <c r="NG5" s="16" t="str">
        <f t="shared" si="26"/>
        <v>พ.ค.</v>
      </c>
      <c r="NH5" s="16" t="str">
        <f t="shared" si="26"/>
        <v>มิ.ย.</v>
      </c>
      <c r="NI5" s="16" t="str">
        <f t="shared" si="26"/>
        <v>ก.ค.</v>
      </c>
      <c r="NJ5" s="16" t="str">
        <f t="shared" si="26"/>
        <v>ส.ค.</v>
      </c>
      <c r="NK5" s="16" t="str">
        <f t="shared" si="26"/>
        <v>ก.ย.</v>
      </c>
      <c r="NL5" s="17" t="s">
        <v>16</v>
      </c>
      <c r="NM5" s="16" t="str">
        <f>+MZ5</f>
        <v>ต.ค.</v>
      </c>
      <c r="NN5" s="16" t="str">
        <f t="shared" ref="NN5:NX5" si="27">+NA5</f>
        <v>พ.ย.</v>
      </c>
      <c r="NO5" s="16" t="str">
        <f t="shared" si="27"/>
        <v>ธ.ค.</v>
      </c>
      <c r="NP5" s="16" t="str">
        <f t="shared" si="27"/>
        <v>ม.ค.</v>
      </c>
      <c r="NQ5" s="16" t="str">
        <f t="shared" si="27"/>
        <v>ก.พ.</v>
      </c>
      <c r="NR5" s="16" t="str">
        <f t="shared" si="27"/>
        <v>มี.ค.</v>
      </c>
      <c r="NS5" s="16" t="str">
        <f t="shared" si="27"/>
        <v>เม.ย.</v>
      </c>
      <c r="NT5" s="16" t="str">
        <f t="shared" si="27"/>
        <v>พ.ค.</v>
      </c>
      <c r="NU5" s="16" t="str">
        <f t="shared" si="27"/>
        <v>มิ.ย.</v>
      </c>
      <c r="NV5" s="16" t="str">
        <f t="shared" si="27"/>
        <v>ก.ค.</v>
      </c>
      <c r="NW5" s="16" t="str">
        <f t="shared" si="27"/>
        <v>ส.ค.</v>
      </c>
      <c r="NX5" s="16" t="str">
        <f t="shared" si="27"/>
        <v>ก.ย.</v>
      </c>
      <c r="NY5" s="17" t="s">
        <v>16</v>
      </c>
      <c r="NZ5" s="16" t="str">
        <f>+NM5</f>
        <v>ต.ค.</v>
      </c>
      <c r="OA5" s="16" t="str">
        <f t="shared" ref="OA5:OK5" si="28">+NN5</f>
        <v>พ.ย.</v>
      </c>
      <c r="OB5" s="16" t="str">
        <f t="shared" si="28"/>
        <v>ธ.ค.</v>
      </c>
      <c r="OC5" s="16" t="str">
        <f t="shared" si="28"/>
        <v>ม.ค.</v>
      </c>
      <c r="OD5" s="16" t="str">
        <f t="shared" si="28"/>
        <v>ก.พ.</v>
      </c>
      <c r="OE5" s="16" t="str">
        <f t="shared" si="28"/>
        <v>มี.ค.</v>
      </c>
      <c r="OF5" s="16" t="str">
        <f t="shared" si="28"/>
        <v>เม.ย.</v>
      </c>
      <c r="OG5" s="16" t="str">
        <f t="shared" si="28"/>
        <v>พ.ค.</v>
      </c>
      <c r="OH5" s="16" t="str">
        <f t="shared" si="28"/>
        <v>มิ.ย.</v>
      </c>
      <c r="OI5" s="16" t="str">
        <f t="shared" si="28"/>
        <v>ก.ค.</v>
      </c>
      <c r="OJ5" s="16" t="str">
        <f t="shared" si="28"/>
        <v>ส.ค.</v>
      </c>
      <c r="OK5" s="16" t="str">
        <f t="shared" si="28"/>
        <v>ก.ย.</v>
      </c>
      <c r="OL5" s="17" t="s">
        <v>16</v>
      </c>
      <c r="OM5" s="88"/>
      <c r="ON5" s="24"/>
    </row>
    <row r="6" spans="1:404" x14ac:dyDescent="0.35">
      <c r="A6" s="5" t="s">
        <v>1</v>
      </c>
      <c r="B6" s="5" t="s">
        <v>8</v>
      </c>
      <c r="C6" s="5" t="s">
        <v>17</v>
      </c>
      <c r="D6" s="4">
        <v>149940</v>
      </c>
      <c r="E6" s="4">
        <v>149940</v>
      </c>
      <c r="F6" s="4">
        <v>149940</v>
      </c>
      <c r="G6" s="4">
        <v>149940</v>
      </c>
      <c r="H6" s="4">
        <v>149940</v>
      </c>
      <c r="I6" s="4">
        <v>149940</v>
      </c>
      <c r="J6" s="37">
        <f>41880+156920</f>
        <v>198800</v>
      </c>
      <c r="K6" s="37">
        <v>156920</v>
      </c>
      <c r="L6" s="4">
        <v>156920</v>
      </c>
      <c r="M6" s="4">
        <v>156920</v>
      </c>
      <c r="N6" s="4">
        <v>156920</v>
      </c>
      <c r="O6" s="4">
        <v>156920</v>
      </c>
      <c r="P6" s="4">
        <f>SUM(D6:O6)</f>
        <v>1883040</v>
      </c>
      <c r="Q6" s="4">
        <v>3750</v>
      </c>
      <c r="R6" s="4">
        <v>3750</v>
      </c>
      <c r="S6" s="4">
        <v>3750</v>
      </c>
      <c r="T6" s="4">
        <v>3750</v>
      </c>
      <c r="U6" s="4">
        <v>3750</v>
      </c>
      <c r="V6" s="4">
        <v>3750</v>
      </c>
      <c r="W6" s="4">
        <v>3750</v>
      </c>
      <c r="X6" s="4">
        <v>3750</v>
      </c>
      <c r="Y6" s="4">
        <v>3750</v>
      </c>
      <c r="Z6" s="4">
        <v>3750</v>
      </c>
      <c r="AA6" s="4">
        <v>3750</v>
      </c>
      <c r="AB6" s="4">
        <v>3750</v>
      </c>
      <c r="AC6" s="4">
        <f>SUM(Q6:AB6)</f>
        <v>45000</v>
      </c>
      <c r="AD6" s="4">
        <v>2709</v>
      </c>
      <c r="AE6" s="4">
        <v>2709</v>
      </c>
      <c r="AF6" s="4">
        <v>2709</v>
      </c>
      <c r="AG6" s="4">
        <v>2709</v>
      </c>
      <c r="AH6" s="4">
        <v>2709</v>
      </c>
      <c r="AI6" s="4">
        <v>2709</v>
      </c>
      <c r="AJ6" s="37">
        <f>786+2840</f>
        <v>3626</v>
      </c>
      <c r="AK6" s="4">
        <v>2840</v>
      </c>
      <c r="AL6" s="4">
        <v>2840</v>
      </c>
      <c r="AM6" s="4">
        <v>2840</v>
      </c>
      <c r="AN6" s="4">
        <v>2840</v>
      </c>
      <c r="AO6" s="4">
        <v>2840</v>
      </c>
      <c r="AP6" s="4">
        <f>SUM(AD6:AO6)</f>
        <v>34080</v>
      </c>
      <c r="AQ6" s="4">
        <f>+P6+AC6+AP6</f>
        <v>1962120</v>
      </c>
      <c r="AR6" s="4">
        <v>158170</v>
      </c>
      <c r="AS6" s="4">
        <v>158170</v>
      </c>
      <c r="AT6" s="4">
        <v>158170</v>
      </c>
      <c r="AU6" s="4">
        <v>158170</v>
      </c>
      <c r="AV6" s="4">
        <v>158170</v>
      </c>
      <c r="AW6" s="4">
        <v>158170</v>
      </c>
      <c r="AX6" s="37">
        <f>42480+165250</f>
        <v>207730</v>
      </c>
      <c r="AY6" s="4">
        <v>165250</v>
      </c>
      <c r="AZ6" s="4">
        <v>165250</v>
      </c>
      <c r="BA6" s="4">
        <v>165250</v>
      </c>
      <c r="BB6" s="4">
        <v>165250</v>
      </c>
      <c r="BC6" s="4">
        <v>165250</v>
      </c>
      <c r="BD6" s="4">
        <f>SUM(AR6:BC6)</f>
        <v>1983000</v>
      </c>
      <c r="BE6" s="4">
        <v>3750</v>
      </c>
      <c r="BF6" s="4">
        <v>3750</v>
      </c>
      <c r="BG6" s="4">
        <v>3750</v>
      </c>
      <c r="BH6" s="4">
        <v>3750</v>
      </c>
      <c r="BI6" s="4">
        <v>3750</v>
      </c>
      <c r="BJ6" s="4">
        <v>3750</v>
      </c>
      <c r="BK6" s="4">
        <v>3750</v>
      </c>
      <c r="BL6" s="4">
        <v>3750</v>
      </c>
      <c r="BM6" s="4">
        <v>3750</v>
      </c>
      <c r="BN6" s="4">
        <v>3750</v>
      </c>
      <c r="BO6" s="4">
        <v>3750</v>
      </c>
      <c r="BP6" s="4">
        <v>3750</v>
      </c>
      <c r="BQ6" s="4">
        <f>SUM(BE6:BP6)</f>
        <v>45000</v>
      </c>
      <c r="BR6" s="4">
        <v>4745</v>
      </c>
      <c r="BS6" s="4">
        <v>4745</v>
      </c>
      <c r="BT6" s="4">
        <v>4745</v>
      </c>
      <c r="BU6" s="4">
        <v>4745</v>
      </c>
      <c r="BV6" s="4">
        <v>4745</v>
      </c>
      <c r="BW6" s="4">
        <v>4745</v>
      </c>
      <c r="BX6" s="37">
        <f>1278+4958</f>
        <v>6236</v>
      </c>
      <c r="BY6" s="4">
        <v>4958</v>
      </c>
      <c r="BZ6" s="4">
        <v>4958</v>
      </c>
      <c r="CA6" s="4">
        <v>4958</v>
      </c>
      <c r="CB6" s="4">
        <v>4958</v>
      </c>
      <c r="CC6" s="4">
        <v>4958</v>
      </c>
      <c r="CD6" s="4">
        <f>SUM(BR6:CC6)</f>
        <v>59496</v>
      </c>
      <c r="CE6" s="4">
        <f>+BD6+BQ6+CD6</f>
        <v>2087496</v>
      </c>
      <c r="CF6" s="4">
        <v>90430</v>
      </c>
      <c r="CG6" s="4">
        <v>90430</v>
      </c>
      <c r="CH6" s="4">
        <v>90430</v>
      </c>
      <c r="CI6" s="4">
        <v>90430</v>
      </c>
      <c r="CJ6" s="4">
        <v>90430</v>
      </c>
      <c r="CK6" s="4">
        <v>90430</v>
      </c>
      <c r="CL6" s="37">
        <f>21420+94000</f>
        <v>115420</v>
      </c>
      <c r="CM6" s="4">
        <v>94000</v>
      </c>
      <c r="CN6" s="4">
        <v>94000</v>
      </c>
      <c r="CO6" s="4">
        <v>94000</v>
      </c>
      <c r="CP6" s="4">
        <v>94000</v>
      </c>
      <c r="CQ6" s="4">
        <v>94000</v>
      </c>
      <c r="CR6" s="4">
        <f>SUM(CF6:CQ6)</f>
        <v>1128000</v>
      </c>
      <c r="CS6" s="4">
        <v>2250</v>
      </c>
      <c r="CT6" s="4">
        <v>2250</v>
      </c>
      <c r="CU6" s="4">
        <v>2250</v>
      </c>
      <c r="CV6" s="4">
        <v>2250</v>
      </c>
      <c r="CW6" s="4">
        <v>2250</v>
      </c>
      <c r="CX6" s="4">
        <v>2250</v>
      </c>
      <c r="CY6" s="4">
        <v>2250</v>
      </c>
      <c r="CZ6" s="4">
        <v>2250</v>
      </c>
      <c r="DA6" s="4">
        <v>2250</v>
      </c>
      <c r="DB6" s="4">
        <v>2250</v>
      </c>
      <c r="DC6" s="4">
        <v>2250</v>
      </c>
      <c r="DD6" s="4">
        <v>2250</v>
      </c>
      <c r="DE6" s="4">
        <f>SUM(CS6:DD6)</f>
        <v>27000</v>
      </c>
      <c r="DF6" s="4">
        <v>1926</v>
      </c>
      <c r="DG6" s="4">
        <v>1926</v>
      </c>
      <c r="DH6" s="4">
        <v>1926</v>
      </c>
      <c r="DI6" s="4">
        <v>1926</v>
      </c>
      <c r="DJ6" s="4">
        <v>1926</v>
      </c>
      <c r="DK6" s="4">
        <v>1926</v>
      </c>
      <c r="DL6" s="37">
        <f>546+2017</f>
        <v>2563</v>
      </c>
      <c r="DM6" s="4">
        <v>2017</v>
      </c>
      <c r="DN6" s="4">
        <v>2017</v>
      </c>
      <c r="DO6" s="4">
        <v>2017</v>
      </c>
      <c r="DP6" s="4">
        <v>2017</v>
      </c>
      <c r="DQ6" s="4">
        <v>2017</v>
      </c>
      <c r="DR6" s="4">
        <f>SUM(DF6:DQ6)</f>
        <v>24204</v>
      </c>
      <c r="DS6" s="4">
        <f>+CR6+DE6+DR6</f>
        <v>1179204</v>
      </c>
      <c r="DT6" s="4">
        <v>250400</v>
      </c>
      <c r="DU6" s="4">
        <v>250400</v>
      </c>
      <c r="DV6" s="4">
        <v>250400</v>
      </c>
      <c r="DW6" s="4">
        <v>250400</v>
      </c>
      <c r="DX6" s="4">
        <v>250400</v>
      </c>
      <c r="DY6" s="4">
        <v>250400</v>
      </c>
      <c r="DZ6" s="37">
        <f>47280+229230</f>
        <v>276510</v>
      </c>
      <c r="EA6" s="4">
        <v>198200</v>
      </c>
      <c r="EB6" s="4">
        <v>198200</v>
      </c>
      <c r="EC6" s="4">
        <v>198200</v>
      </c>
      <c r="ED6" s="4">
        <v>198200</v>
      </c>
      <c r="EE6" s="4">
        <v>198200</v>
      </c>
      <c r="EF6" s="4">
        <f>SUM(DT6:EE6)</f>
        <v>2769910</v>
      </c>
      <c r="EG6" s="4">
        <v>6000</v>
      </c>
      <c r="EH6" s="4">
        <v>6000</v>
      </c>
      <c r="EI6" s="4">
        <v>6000</v>
      </c>
      <c r="EJ6" s="4">
        <v>6000</v>
      </c>
      <c r="EK6" s="4">
        <v>6000</v>
      </c>
      <c r="EL6" s="4">
        <v>6000</v>
      </c>
      <c r="EM6" s="4">
        <v>5250</v>
      </c>
      <c r="EN6" s="4">
        <v>4500</v>
      </c>
      <c r="EO6" s="4">
        <v>4500</v>
      </c>
      <c r="EP6" s="4">
        <v>4500</v>
      </c>
      <c r="EQ6" s="4">
        <v>4500</v>
      </c>
      <c r="ER6" s="4">
        <v>4500</v>
      </c>
      <c r="ES6" s="4">
        <f>SUM(EG6:ER6)</f>
        <v>63750</v>
      </c>
      <c r="ET6" s="4">
        <v>5754</v>
      </c>
      <c r="EU6" s="4">
        <v>5754</v>
      </c>
      <c r="EV6" s="4">
        <v>5754</v>
      </c>
      <c r="EW6" s="4">
        <v>5754</v>
      </c>
      <c r="EX6" s="4">
        <v>5754</v>
      </c>
      <c r="EY6" s="4">
        <v>5754</v>
      </c>
      <c r="EZ6" s="37">
        <f>1152+5946</f>
        <v>7098</v>
      </c>
      <c r="FA6" s="4">
        <v>5946</v>
      </c>
      <c r="FB6" s="4">
        <v>5946</v>
      </c>
      <c r="FC6" s="4">
        <v>5946</v>
      </c>
      <c r="FD6" s="4">
        <v>5946</v>
      </c>
      <c r="FE6" s="4">
        <v>5946</v>
      </c>
      <c r="FF6" s="4">
        <f>SUM(ET6:FE6)</f>
        <v>71352</v>
      </c>
      <c r="FG6" s="4">
        <f>+EF6+ES6+FF6</f>
        <v>2905012</v>
      </c>
      <c r="FH6" s="4">
        <v>161940</v>
      </c>
      <c r="FI6" s="4">
        <v>161940</v>
      </c>
      <c r="FJ6" s="4">
        <v>161940</v>
      </c>
      <c r="FK6" s="4">
        <v>161940</v>
      </c>
      <c r="FL6" s="4">
        <v>161940</v>
      </c>
      <c r="FM6" s="4">
        <v>161940</v>
      </c>
      <c r="FN6" s="37">
        <f>39600+168540</f>
        <v>208140</v>
      </c>
      <c r="FO6" s="4">
        <v>168540</v>
      </c>
      <c r="FP6" s="4">
        <v>168540</v>
      </c>
      <c r="FQ6" s="4">
        <v>168540</v>
      </c>
      <c r="FR6" s="4">
        <v>168540</v>
      </c>
      <c r="FS6" s="4">
        <v>168540</v>
      </c>
      <c r="FT6" s="4">
        <f>SUM(FH6:FS6)</f>
        <v>2022480</v>
      </c>
      <c r="FU6" s="4">
        <v>3750</v>
      </c>
      <c r="FV6" s="4">
        <v>3750</v>
      </c>
      <c r="FW6" s="4">
        <v>3750</v>
      </c>
      <c r="FX6" s="4">
        <v>3750</v>
      </c>
      <c r="FY6" s="4">
        <v>3750</v>
      </c>
      <c r="FZ6" s="4">
        <v>3750</v>
      </c>
      <c r="GA6" s="4">
        <v>3750</v>
      </c>
      <c r="GB6" s="4">
        <v>3750</v>
      </c>
      <c r="GC6" s="4">
        <v>3750</v>
      </c>
      <c r="GD6" s="4">
        <v>3750</v>
      </c>
      <c r="GE6" s="4">
        <v>3750</v>
      </c>
      <c r="GF6" s="4">
        <v>3750</v>
      </c>
      <c r="GG6" s="4">
        <f>SUM(FU6:GF6)</f>
        <v>45000</v>
      </c>
      <c r="GH6" s="4">
        <v>3090</v>
      </c>
      <c r="GI6" s="4">
        <v>3090</v>
      </c>
      <c r="GJ6" s="4">
        <v>3000</v>
      </c>
      <c r="GK6" s="4">
        <v>3090</v>
      </c>
      <c r="GL6" s="4">
        <v>3090</v>
      </c>
      <c r="GM6" s="4">
        <v>3090</v>
      </c>
      <c r="GN6" s="37">
        <f>930+3242</f>
        <v>4172</v>
      </c>
      <c r="GO6" s="4">
        <v>3242</v>
      </c>
      <c r="GP6" s="4">
        <v>3242</v>
      </c>
      <c r="GQ6" s="4">
        <v>3242</v>
      </c>
      <c r="GR6" s="4">
        <v>3242</v>
      </c>
      <c r="GS6" s="4">
        <v>3242</v>
      </c>
      <c r="GT6" s="4">
        <f>SUM(GH6:GS6)</f>
        <v>38832</v>
      </c>
      <c r="GU6" s="4">
        <f>+FT6+GG6+GT6</f>
        <v>2106312</v>
      </c>
      <c r="GV6" s="4">
        <v>129370</v>
      </c>
      <c r="GW6" s="4">
        <v>129370</v>
      </c>
      <c r="GX6" s="4">
        <v>129370</v>
      </c>
      <c r="GY6" s="4">
        <v>129370</v>
      </c>
      <c r="GZ6" s="4">
        <v>129370</v>
      </c>
      <c r="HA6" s="4">
        <v>129370</v>
      </c>
      <c r="HB6" s="37">
        <f>24600+133470</f>
        <v>158070</v>
      </c>
      <c r="HC6" s="4">
        <v>133470</v>
      </c>
      <c r="HD6" s="4">
        <v>133470</v>
      </c>
      <c r="HE6" s="4">
        <v>133470</v>
      </c>
      <c r="HF6" s="4">
        <v>133470</v>
      </c>
      <c r="HG6" s="4">
        <v>133470</v>
      </c>
      <c r="HH6" s="4">
        <f>SUM(GV6:HG6)</f>
        <v>1601640</v>
      </c>
      <c r="HI6" s="4">
        <v>3000</v>
      </c>
      <c r="HJ6" s="4">
        <v>3000</v>
      </c>
      <c r="HK6" s="4">
        <v>3000</v>
      </c>
      <c r="HL6" s="4">
        <v>3000</v>
      </c>
      <c r="HM6" s="4">
        <v>3000</v>
      </c>
      <c r="HN6" s="4">
        <v>3000</v>
      </c>
      <c r="HO6" s="4">
        <v>3000</v>
      </c>
      <c r="HP6" s="4">
        <v>3000</v>
      </c>
      <c r="HQ6" s="4">
        <v>3000</v>
      </c>
      <c r="HR6" s="4">
        <v>3000</v>
      </c>
      <c r="HS6" s="4">
        <v>3000</v>
      </c>
      <c r="HT6" s="4">
        <v>3000</v>
      </c>
      <c r="HU6" s="4">
        <f>SUM(HI6:HT6)</f>
        <v>36000</v>
      </c>
      <c r="HV6" s="4">
        <v>3881</v>
      </c>
      <c r="HW6" s="4">
        <v>3881</v>
      </c>
      <c r="HX6" s="4">
        <v>3881</v>
      </c>
      <c r="HY6" s="4">
        <v>3881</v>
      </c>
      <c r="HZ6" s="4">
        <v>3881</v>
      </c>
      <c r="IA6" s="4">
        <v>3881</v>
      </c>
      <c r="IB6" s="37">
        <f>738+4004</f>
        <v>4742</v>
      </c>
      <c r="IC6" s="4">
        <v>4004</v>
      </c>
      <c r="ID6" s="4">
        <v>4004</v>
      </c>
      <c r="IE6" s="4">
        <v>4004</v>
      </c>
      <c r="IF6" s="4">
        <v>4004</v>
      </c>
      <c r="IG6" s="4">
        <v>4004</v>
      </c>
      <c r="IH6" s="4">
        <f>SUM(HV6:IG6)</f>
        <v>48048</v>
      </c>
      <c r="II6" s="4">
        <f>+HH6+HU6+IH6</f>
        <v>1685688</v>
      </c>
      <c r="IJ6" s="4">
        <v>122080</v>
      </c>
      <c r="IK6" s="4">
        <v>122080</v>
      </c>
      <c r="IL6" s="4">
        <v>122080</v>
      </c>
      <c r="IM6" s="4">
        <v>122080</v>
      </c>
      <c r="IN6" s="4">
        <v>122080</v>
      </c>
      <c r="IO6" s="4">
        <v>122080</v>
      </c>
      <c r="IP6" s="37">
        <f>35940+128070</f>
        <v>164010</v>
      </c>
      <c r="IQ6" s="4">
        <v>128070</v>
      </c>
      <c r="IR6" s="4">
        <v>128070</v>
      </c>
      <c r="IS6" s="4">
        <v>128070</v>
      </c>
      <c r="IT6" s="4">
        <v>128070</v>
      </c>
      <c r="IU6" s="4">
        <v>128070</v>
      </c>
      <c r="IV6" s="4">
        <f>SUM(IJ6:IU6)</f>
        <v>1536840</v>
      </c>
      <c r="IW6" s="4">
        <v>3000</v>
      </c>
      <c r="IX6" s="4">
        <v>3000</v>
      </c>
      <c r="IY6" s="4">
        <v>3000</v>
      </c>
      <c r="IZ6" s="4">
        <v>3000</v>
      </c>
      <c r="JA6" s="4">
        <v>3000</v>
      </c>
      <c r="JB6" s="4">
        <v>3000</v>
      </c>
      <c r="JC6" s="4">
        <v>3000</v>
      </c>
      <c r="JD6" s="4">
        <v>3000</v>
      </c>
      <c r="JE6" s="4">
        <v>3000</v>
      </c>
      <c r="JF6" s="4">
        <v>3000</v>
      </c>
      <c r="JG6" s="4">
        <v>3000</v>
      </c>
      <c r="JH6" s="4">
        <v>3000</v>
      </c>
      <c r="JI6" s="4">
        <f>SUM(IW6:JH6)</f>
        <v>36000</v>
      </c>
      <c r="JJ6" s="4">
        <v>2835</v>
      </c>
      <c r="JK6" s="4">
        <v>2835</v>
      </c>
      <c r="JL6" s="4">
        <v>2835</v>
      </c>
      <c r="JM6" s="4">
        <v>3663</v>
      </c>
      <c r="JN6" s="4">
        <v>3663</v>
      </c>
      <c r="JO6" s="4">
        <v>3663</v>
      </c>
      <c r="JP6" s="37">
        <f>957+3842</f>
        <v>4799</v>
      </c>
      <c r="JQ6" s="4">
        <v>3842</v>
      </c>
      <c r="JR6" s="4">
        <v>3842</v>
      </c>
      <c r="JS6" s="4">
        <v>3842</v>
      </c>
      <c r="JT6" s="4">
        <v>3842</v>
      </c>
      <c r="JU6" s="4">
        <v>3842</v>
      </c>
      <c r="JV6" s="4">
        <f>SUM(JJ6:JU6)</f>
        <v>43503</v>
      </c>
      <c r="JW6" s="4">
        <f>+IV6+JI6+JV6</f>
        <v>1616343</v>
      </c>
      <c r="JX6" s="4">
        <v>156750</v>
      </c>
      <c r="JY6" s="4">
        <v>156750</v>
      </c>
      <c r="JZ6" s="4">
        <v>156750</v>
      </c>
      <c r="KA6" s="4">
        <v>156750</v>
      </c>
      <c r="KB6" s="4">
        <v>156750</v>
      </c>
      <c r="KC6" s="4">
        <v>156750</v>
      </c>
      <c r="KD6" s="37">
        <f>35460+162660</f>
        <v>198120</v>
      </c>
      <c r="KE6" s="4">
        <v>162660</v>
      </c>
      <c r="KF6" s="4">
        <v>162660</v>
      </c>
      <c r="KG6" s="4">
        <v>162660</v>
      </c>
      <c r="KH6" s="4">
        <v>162660</v>
      </c>
      <c r="KI6" s="4">
        <v>162660</v>
      </c>
      <c r="KJ6" s="4">
        <f>SUM(JX6:KI6)</f>
        <v>1951920</v>
      </c>
      <c r="KK6" s="4">
        <v>3750</v>
      </c>
      <c r="KL6" s="4">
        <v>3750</v>
      </c>
      <c r="KM6" s="4">
        <v>3750</v>
      </c>
      <c r="KN6" s="4">
        <v>3750</v>
      </c>
      <c r="KO6" s="4">
        <v>3750</v>
      </c>
      <c r="KP6" s="4">
        <v>3750</v>
      </c>
      <c r="KQ6" s="4">
        <v>3750</v>
      </c>
      <c r="KR6" s="4">
        <v>3750</v>
      </c>
      <c r="KS6" s="4">
        <v>3750</v>
      </c>
      <c r="KT6" s="4">
        <v>3750</v>
      </c>
      <c r="KU6" s="4">
        <v>3750</v>
      </c>
      <c r="KV6" s="4">
        <v>3750</v>
      </c>
      <c r="KW6" s="4">
        <f>SUM(KK6:KV6)</f>
        <v>45000</v>
      </c>
      <c r="KX6" s="4">
        <v>2970</v>
      </c>
      <c r="KY6" s="4">
        <v>2970</v>
      </c>
      <c r="KZ6" s="4">
        <v>2970</v>
      </c>
      <c r="LA6" s="4">
        <v>2970</v>
      </c>
      <c r="LB6" s="4">
        <v>2970</v>
      </c>
      <c r="LC6" s="4">
        <v>2970</v>
      </c>
      <c r="LD6" s="37">
        <f>894+3935</f>
        <v>4829</v>
      </c>
      <c r="LE6" s="4">
        <v>3935</v>
      </c>
      <c r="LF6" s="4">
        <v>3935</v>
      </c>
      <c r="LG6" s="4">
        <v>3935</v>
      </c>
      <c r="LH6" s="4">
        <v>3935</v>
      </c>
      <c r="LI6" s="4">
        <v>3935</v>
      </c>
      <c r="LJ6" s="4">
        <f>SUM(KX6:LI6)</f>
        <v>42324</v>
      </c>
      <c r="LK6" s="4">
        <f>+KJ6+KW6+LJ6</f>
        <v>2039244</v>
      </c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>
        <f>SUM(LL6:LW6)</f>
        <v>0</v>
      </c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>
        <f>SUM(LY6:MJ6)</f>
        <v>0</v>
      </c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>
        <f>SUM(ML6:MW6)</f>
        <v>0</v>
      </c>
      <c r="MY6" s="4">
        <f>+LX6+MK6+MX6</f>
        <v>0</v>
      </c>
      <c r="MZ6" s="4">
        <v>5600</v>
      </c>
      <c r="NA6" s="4">
        <v>5600</v>
      </c>
      <c r="NB6" s="4">
        <v>5600</v>
      </c>
      <c r="NC6" s="4">
        <v>5600</v>
      </c>
      <c r="ND6" s="4">
        <v>5600</v>
      </c>
      <c r="NE6" s="4">
        <v>5600</v>
      </c>
      <c r="NF6" s="4">
        <v>5600</v>
      </c>
      <c r="NG6" s="4">
        <v>5600</v>
      </c>
      <c r="NH6" s="4">
        <v>5600</v>
      </c>
      <c r="NI6" s="4">
        <v>5600</v>
      </c>
      <c r="NJ6" s="4">
        <v>5600</v>
      </c>
      <c r="NK6" s="4">
        <v>5600</v>
      </c>
      <c r="NL6" s="4">
        <f>SUM(MZ6:NK6)</f>
        <v>67200</v>
      </c>
      <c r="NM6" s="4">
        <v>5600</v>
      </c>
      <c r="NN6" s="4">
        <v>5600</v>
      </c>
      <c r="NO6" s="4">
        <v>5600</v>
      </c>
      <c r="NP6" s="4">
        <v>5600</v>
      </c>
      <c r="NQ6" s="4">
        <v>5600</v>
      </c>
      <c r="NR6" s="4">
        <v>5600</v>
      </c>
      <c r="NS6" s="4">
        <v>5600</v>
      </c>
      <c r="NT6" s="4">
        <v>5600</v>
      </c>
      <c r="NU6" s="4">
        <v>5600</v>
      </c>
      <c r="NV6" s="4">
        <v>5600</v>
      </c>
      <c r="NW6" s="4">
        <f>5600+123380.65</f>
        <v>128980.65</v>
      </c>
      <c r="NX6" s="4">
        <v>11200</v>
      </c>
      <c r="NY6" s="4">
        <f>SUM(NM6:NX6)</f>
        <v>196180.65</v>
      </c>
      <c r="NZ6" s="4">
        <v>11200</v>
      </c>
      <c r="OA6" s="4">
        <v>11200</v>
      </c>
      <c r="OB6" s="4">
        <v>11200</v>
      </c>
      <c r="OC6" s="4">
        <v>11200</v>
      </c>
      <c r="OD6" s="4">
        <v>11200</v>
      </c>
      <c r="OE6" s="4">
        <v>11200</v>
      </c>
      <c r="OF6" s="4">
        <v>11200</v>
      </c>
      <c r="OG6" s="4">
        <v>11200</v>
      </c>
      <c r="OH6" s="4">
        <v>11200</v>
      </c>
      <c r="OI6" s="4">
        <v>11200</v>
      </c>
      <c r="OJ6" s="4">
        <v>11200</v>
      </c>
      <c r="OK6" s="4">
        <v>11200</v>
      </c>
      <c r="OL6" s="4">
        <f>SUM(NZ6:OK6)</f>
        <v>134400</v>
      </c>
      <c r="OM6" s="4">
        <f>+NL6+NY6+OL6</f>
        <v>397780.65</v>
      </c>
      <c r="ON6" s="13">
        <f>+AQ6+CE6+DS6+FG6+GU6+II6+JW6+LK6+MY6+OM6</f>
        <v>15979199.65</v>
      </c>
    </row>
    <row r="7" spans="1:404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29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30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31">SUM(AD7:AO7)</f>
        <v>0</v>
      </c>
      <c r="AQ7" s="4">
        <f t="shared" ref="AQ7:AQ40" si="32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33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34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35">SUM(BR7:CC7)</f>
        <v>0</v>
      </c>
      <c r="CE7" s="4">
        <f t="shared" ref="CE7:CE40" si="36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37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38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39">SUM(DF7:DQ7)</f>
        <v>0</v>
      </c>
      <c r="DS7" s="4">
        <f t="shared" ref="DS7:DS40" si="40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41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42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43">SUM(ET7:FE7)</f>
        <v>0</v>
      </c>
      <c r="FG7" s="4">
        <f t="shared" ref="FG7:FG40" si="44">+EF7+ES7+FF7</f>
        <v>0</v>
      </c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>
        <f t="shared" ref="FT7:FT40" si="45">SUM(FH7:FS7)</f>
        <v>0</v>
      </c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f t="shared" ref="GG7:GG40" si="46">SUM(FU7:GF7)</f>
        <v>0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>
        <f t="shared" ref="GT7:GT40" si="47">SUM(GH7:GS7)</f>
        <v>0</v>
      </c>
      <c r="GU7" s="4">
        <f t="shared" ref="GU7:GU40" si="48">+FT7+GG7+GT7</f>
        <v>0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 t="shared" ref="HH7:HH40" si="49">SUM(GV7:HG7)</f>
        <v>0</v>
      </c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>
        <f t="shared" ref="HU7:HU40" si="50">SUM(HI7:HT7)</f>
        <v>0</v>
      </c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>
        <f t="shared" ref="IH7:IH40" si="51">SUM(HV7:IG7)</f>
        <v>0</v>
      </c>
      <c r="II7" s="4">
        <f t="shared" ref="II7:II40" si="52">+HH7+HU7+IH7</f>
        <v>0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53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54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55">SUM(JJ7:JU7)</f>
        <v>0</v>
      </c>
      <c r="JW7" s="4">
        <f t="shared" ref="JW7:JW40" si="56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57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58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59">SUM(KX7:LI7)</f>
        <v>0</v>
      </c>
      <c r="LK7" s="4">
        <f t="shared" ref="LK7:LK40" si="60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61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62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63">SUM(ML7:MW7)</f>
        <v>0</v>
      </c>
      <c r="MY7" s="4">
        <f t="shared" ref="MY7:MY40" si="64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>SUM(MZ7:NK7)</f>
        <v>0</v>
      </c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>
        <f>SUM(NM7:NX7)</f>
        <v>0</v>
      </c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>
        <f>SUM(NZ7:OK7)</f>
        <v>0</v>
      </c>
      <c r="OM7" s="4">
        <f t="shared" ref="OM7:OM39" si="65">+NL7+NY7+OL7</f>
        <v>0</v>
      </c>
      <c r="ON7" s="13">
        <f t="shared" ref="ON7:ON39" si="66">+AQ7+CE7+DS7+FG7+GU7+II7+JW7+LK7+MY7+OM7</f>
        <v>0</v>
      </c>
    </row>
    <row r="8" spans="1:404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29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30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31"/>
        <v>0</v>
      </c>
      <c r="AQ8" s="4">
        <f t="shared" si="32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33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34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35"/>
        <v>0</v>
      </c>
      <c r="CE8" s="4">
        <f t="shared" si="36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37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38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39"/>
        <v>0</v>
      </c>
      <c r="DS8" s="4">
        <f t="shared" si="40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41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42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43"/>
        <v>0</v>
      </c>
      <c r="FG8" s="4">
        <f t="shared" si="44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45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46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47"/>
        <v>0</v>
      </c>
      <c r="GU8" s="4">
        <f t="shared" si="48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49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50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51"/>
        <v>0</v>
      </c>
      <c r="II8" s="4">
        <f t="shared" si="52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53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54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55"/>
        <v>0</v>
      </c>
      <c r="JW8" s="4">
        <f t="shared" si="56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57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58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59"/>
        <v>0</v>
      </c>
      <c r="LK8" s="4">
        <f t="shared" si="60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61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62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63"/>
        <v>0</v>
      </c>
      <c r="MY8" s="4">
        <f t="shared" si="64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ref="NL8:NL40" si="67">SUM(MZ8:NK8)</f>
        <v>0</v>
      </c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>
        <f t="shared" ref="NY8:NY30" si="68">SUM(NM8:NX8)</f>
        <v>0</v>
      </c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>
        <f t="shared" ref="OL8:OL30" si="69">SUM(NZ8:OK8)</f>
        <v>0</v>
      </c>
      <c r="OM8" s="4">
        <f t="shared" si="65"/>
        <v>0</v>
      </c>
      <c r="ON8" s="13">
        <f t="shared" si="66"/>
        <v>0</v>
      </c>
    </row>
    <row r="9" spans="1:404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29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30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31"/>
        <v>0</v>
      </c>
      <c r="AQ9" s="4">
        <f t="shared" si="32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33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34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35"/>
        <v>0</v>
      </c>
      <c r="CE9" s="4">
        <f t="shared" si="36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37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38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39"/>
        <v>0</v>
      </c>
      <c r="DS9" s="4">
        <f t="shared" si="40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41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42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43"/>
        <v>0</v>
      </c>
      <c r="FG9" s="4">
        <f t="shared" si="44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45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46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47"/>
        <v>0</v>
      </c>
      <c r="GU9" s="4">
        <f t="shared" si="48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49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50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51"/>
        <v>0</v>
      </c>
      <c r="II9" s="4">
        <f t="shared" si="52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53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54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55"/>
        <v>0</v>
      </c>
      <c r="JW9" s="4">
        <f t="shared" si="56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57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58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59"/>
        <v>0</v>
      </c>
      <c r="LK9" s="4">
        <f t="shared" si="60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61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62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63"/>
        <v>0</v>
      </c>
      <c r="MY9" s="4">
        <f t="shared" si="64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67"/>
        <v>0</v>
      </c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>
        <f t="shared" si="68"/>
        <v>0</v>
      </c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>
        <f t="shared" si="69"/>
        <v>0</v>
      </c>
      <c r="OM9" s="4">
        <f t="shared" si="65"/>
        <v>0</v>
      </c>
      <c r="ON9" s="13">
        <f t="shared" si="66"/>
        <v>0</v>
      </c>
    </row>
    <row r="10" spans="1:404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29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30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31"/>
        <v>0</v>
      </c>
      <c r="AQ10" s="4">
        <f t="shared" si="32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33"/>
        <v>0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f t="shared" si="34"/>
        <v>0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>
        <f t="shared" si="35"/>
        <v>0</v>
      </c>
      <c r="CE10" s="4">
        <f t="shared" si="36"/>
        <v>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37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38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39"/>
        <v>0</v>
      </c>
      <c r="DS10" s="4">
        <f t="shared" si="40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41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42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43"/>
        <v>0</v>
      </c>
      <c r="FG10" s="4">
        <f t="shared" si="44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45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46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47"/>
        <v>0</v>
      </c>
      <c r="GU10" s="4">
        <f t="shared" si="48"/>
        <v>0</v>
      </c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>
        <f t="shared" si="49"/>
        <v>0</v>
      </c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>
        <f t="shared" si="50"/>
        <v>0</v>
      </c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>
        <f t="shared" si="51"/>
        <v>0</v>
      </c>
      <c r="II10" s="4">
        <f t="shared" si="52"/>
        <v>0</v>
      </c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>
        <f t="shared" si="53"/>
        <v>0</v>
      </c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f t="shared" si="54"/>
        <v>0</v>
      </c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>
        <f t="shared" si="55"/>
        <v>0</v>
      </c>
      <c r="JW10" s="4">
        <f t="shared" si="56"/>
        <v>0</v>
      </c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>
        <f t="shared" si="57"/>
        <v>0</v>
      </c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>
        <f t="shared" si="58"/>
        <v>0</v>
      </c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>
        <f t="shared" si="59"/>
        <v>0</v>
      </c>
      <c r="LK10" s="4">
        <f t="shared" si="60"/>
        <v>0</v>
      </c>
      <c r="LL10" s="4">
        <v>164790</v>
      </c>
      <c r="LM10" s="4">
        <v>164790</v>
      </c>
      <c r="LN10" s="4">
        <v>164790</v>
      </c>
      <c r="LO10" s="4">
        <v>164790</v>
      </c>
      <c r="LP10" s="4">
        <v>164790</v>
      </c>
      <c r="LQ10" s="4">
        <v>141120</v>
      </c>
      <c r="LR10" s="37">
        <f>42000+148120</f>
        <v>190120</v>
      </c>
      <c r="LS10" s="4">
        <v>148120</v>
      </c>
      <c r="LT10" s="4">
        <v>148120</v>
      </c>
      <c r="LU10" s="4">
        <v>148120</v>
      </c>
      <c r="LV10" s="4">
        <v>148120</v>
      </c>
      <c r="LW10" s="4">
        <f>1184.28+97240</f>
        <v>98424.28</v>
      </c>
      <c r="LX10" s="4">
        <f t="shared" si="61"/>
        <v>1846094.28</v>
      </c>
      <c r="LY10" s="4">
        <v>5250</v>
      </c>
      <c r="LZ10" s="4">
        <v>5250</v>
      </c>
      <c r="MA10" s="4">
        <v>5250</v>
      </c>
      <c r="MB10" s="4">
        <v>5250</v>
      </c>
      <c r="MC10" s="4">
        <v>5250</v>
      </c>
      <c r="MD10" s="4">
        <v>4500</v>
      </c>
      <c r="ME10" s="4">
        <v>4500</v>
      </c>
      <c r="MF10" s="4">
        <v>4500</v>
      </c>
      <c r="MG10" s="4">
        <v>4500</v>
      </c>
      <c r="MH10" s="4">
        <v>4500</v>
      </c>
      <c r="MI10" s="4">
        <v>4500</v>
      </c>
      <c r="MJ10" s="4">
        <v>3000</v>
      </c>
      <c r="MK10" s="4">
        <f t="shared" si="62"/>
        <v>56250</v>
      </c>
      <c r="ML10" s="4">
        <v>2767</v>
      </c>
      <c r="MM10" s="4">
        <v>2767</v>
      </c>
      <c r="MN10" s="4">
        <v>2767</v>
      </c>
      <c r="MO10" s="4">
        <v>2046</v>
      </c>
      <c r="MP10" s="4">
        <v>2046</v>
      </c>
      <c r="MQ10" s="4">
        <v>2046</v>
      </c>
      <c r="MR10" s="37">
        <f>612+2148</f>
        <v>2760</v>
      </c>
      <c r="MS10" s="4">
        <v>2148</v>
      </c>
      <c r="MT10" s="4">
        <v>2148</v>
      </c>
      <c r="MU10" s="4">
        <v>2148</v>
      </c>
      <c r="MV10" s="4">
        <v>2148</v>
      </c>
      <c r="MW10" s="4">
        <v>2148</v>
      </c>
      <c r="MX10" s="4">
        <f t="shared" si="63"/>
        <v>27939</v>
      </c>
      <c r="MY10" s="4">
        <f t="shared" si="64"/>
        <v>1930283.28</v>
      </c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>
        <f t="shared" si="67"/>
        <v>0</v>
      </c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>
        <f t="shared" si="68"/>
        <v>0</v>
      </c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>
        <f t="shared" si="69"/>
        <v>0</v>
      </c>
      <c r="OM10" s="4">
        <f t="shared" si="65"/>
        <v>0</v>
      </c>
      <c r="ON10" s="13">
        <f t="shared" si="66"/>
        <v>1930283.28</v>
      </c>
    </row>
    <row r="11" spans="1:404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29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30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31"/>
        <v>0</v>
      </c>
      <c r="AQ11" s="4">
        <f t="shared" si="32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33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34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35"/>
        <v>0</v>
      </c>
      <c r="CE11" s="4">
        <f t="shared" si="36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37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38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39"/>
        <v>0</v>
      </c>
      <c r="DS11" s="4">
        <f t="shared" si="40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41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42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43"/>
        <v>0</v>
      </c>
      <c r="FG11" s="4">
        <f t="shared" si="44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45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46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47"/>
        <v>0</v>
      </c>
      <c r="GU11" s="4">
        <f t="shared" si="48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49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50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51"/>
        <v>0</v>
      </c>
      <c r="II11" s="4">
        <f t="shared" si="52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53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54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55"/>
        <v>0</v>
      </c>
      <c r="JW11" s="4">
        <f t="shared" si="56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57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58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59"/>
        <v>0</v>
      </c>
      <c r="LK11" s="4">
        <f t="shared" si="60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61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62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63"/>
        <v>0</v>
      </c>
      <c r="MY11" s="4">
        <f t="shared" si="64"/>
        <v>0</v>
      </c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>
        <f t="shared" si="67"/>
        <v>0</v>
      </c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>
        <f t="shared" si="68"/>
        <v>0</v>
      </c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>
        <f t="shared" si="69"/>
        <v>0</v>
      </c>
      <c r="OM11" s="4">
        <f t="shared" si="65"/>
        <v>0</v>
      </c>
      <c r="ON11" s="13">
        <f t="shared" si="66"/>
        <v>0</v>
      </c>
    </row>
    <row r="12" spans="1:404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29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30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31"/>
        <v>0</v>
      </c>
      <c r="AQ12" s="4">
        <f t="shared" si="32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33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34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35"/>
        <v>0</v>
      </c>
      <c r="CE12" s="4">
        <f t="shared" si="36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37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38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39"/>
        <v>0</v>
      </c>
      <c r="DS12" s="4">
        <f t="shared" si="40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41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42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43"/>
        <v>0</v>
      </c>
      <c r="FG12" s="4">
        <f t="shared" si="44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45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46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47"/>
        <v>0</v>
      </c>
      <c r="GU12" s="4">
        <f t="shared" si="48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49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50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51"/>
        <v>0</v>
      </c>
      <c r="II12" s="4">
        <f t="shared" si="52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53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54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55"/>
        <v>0</v>
      </c>
      <c r="JW12" s="4">
        <f t="shared" si="56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57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58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59"/>
        <v>0</v>
      </c>
      <c r="LK12" s="4">
        <f t="shared" si="60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61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62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63"/>
        <v>0</v>
      </c>
      <c r="MY12" s="4">
        <f t="shared" si="64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67"/>
        <v>0</v>
      </c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>
        <f t="shared" si="68"/>
        <v>0</v>
      </c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>
        <f t="shared" si="69"/>
        <v>0</v>
      </c>
      <c r="OM12" s="4">
        <f t="shared" si="65"/>
        <v>0</v>
      </c>
      <c r="ON12" s="13">
        <f t="shared" si="66"/>
        <v>0</v>
      </c>
    </row>
    <row r="13" spans="1:404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29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30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31"/>
        <v>0</v>
      </c>
      <c r="AQ13" s="4">
        <f t="shared" si="32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33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34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35"/>
        <v>0</v>
      </c>
      <c r="CE13" s="4">
        <f t="shared" si="36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37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38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39"/>
        <v>0</v>
      </c>
      <c r="DS13" s="4">
        <f t="shared" si="40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41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42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43"/>
        <v>0</v>
      </c>
      <c r="FG13" s="4">
        <f t="shared" si="44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45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46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47"/>
        <v>0</v>
      </c>
      <c r="GU13" s="4">
        <f t="shared" si="48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49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50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51"/>
        <v>0</v>
      </c>
      <c r="II13" s="4">
        <f t="shared" si="52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53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54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55"/>
        <v>0</v>
      </c>
      <c r="JW13" s="4">
        <f t="shared" si="56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57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58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59"/>
        <v>0</v>
      </c>
      <c r="LK13" s="4">
        <f t="shared" si="60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61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62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63"/>
        <v>0</v>
      </c>
      <c r="MY13" s="4">
        <f t="shared" si="64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67"/>
        <v>0</v>
      </c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>
        <f t="shared" si="68"/>
        <v>0</v>
      </c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>
        <f t="shared" si="69"/>
        <v>0</v>
      </c>
      <c r="OM13" s="4">
        <f t="shared" si="65"/>
        <v>0</v>
      </c>
      <c r="ON13" s="13">
        <f t="shared" si="66"/>
        <v>0</v>
      </c>
    </row>
    <row r="14" spans="1:404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29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30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31"/>
        <v>0</v>
      </c>
      <c r="AQ14" s="4">
        <f t="shared" si="32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33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34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35"/>
        <v>0</v>
      </c>
      <c r="CE14" s="4">
        <f t="shared" si="36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37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38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39"/>
        <v>0</v>
      </c>
      <c r="DS14" s="4">
        <f t="shared" si="40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41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42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43"/>
        <v>0</v>
      </c>
      <c r="FG14" s="4">
        <f t="shared" si="44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45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46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47"/>
        <v>0</v>
      </c>
      <c r="GU14" s="4">
        <f t="shared" si="48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49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50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51"/>
        <v>0</v>
      </c>
      <c r="II14" s="4">
        <f t="shared" si="52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53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54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55"/>
        <v>0</v>
      </c>
      <c r="JW14" s="4">
        <f t="shared" si="56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57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58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59"/>
        <v>0</v>
      </c>
      <c r="LK14" s="4">
        <f t="shared" si="60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61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62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63"/>
        <v>0</v>
      </c>
      <c r="MY14" s="4">
        <f t="shared" si="64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67"/>
        <v>0</v>
      </c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>
        <f t="shared" si="68"/>
        <v>0</v>
      </c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>
        <f t="shared" si="69"/>
        <v>0</v>
      </c>
      <c r="OM14" s="4">
        <f t="shared" si="65"/>
        <v>0</v>
      </c>
      <c r="ON14" s="13">
        <f t="shared" si="66"/>
        <v>0</v>
      </c>
    </row>
    <row r="15" spans="1:404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29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30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31"/>
        <v>0</v>
      </c>
      <c r="AQ15" s="4">
        <f t="shared" si="32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33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34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35"/>
        <v>0</v>
      </c>
      <c r="CE15" s="4">
        <f t="shared" si="36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37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38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39"/>
        <v>0</v>
      </c>
      <c r="DS15" s="4">
        <f t="shared" si="40"/>
        <v>0</v>
      </c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>
        <f t="shared" si="41"/>
        <v>0</v>
      </c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>
        <f t="shared" si="42"/>
        <v>0</v>
      </c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>
        <f t="shared" si="43"/>
        <v>0</v>
      </c>
      <c r="FG15" s="4">
        <f t="shared" si="44"/>
        <v>0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45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46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47"/>
        <v>0</v>
      </c>
      <c r="GU15" s="4">
        <f t="shared" si="48"/>
        <v>0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49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50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51"/>
        <v>0</v>
      </c>
      <c r="II15" s="4">
        <f t="shared" si="52"/>
        <v>0</v>
      </c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>
        <f t="shared" si="53"/>
        <v>0</v>
      </c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f t="shared" si="54"/>
        <v>0</v>
      </c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>
        <f t="shared" si="55"/>
        <v>0</v>
      </c>
      <c r="JW15" s="4">
        <f t="shared" si="56"/>
        <v>0</v>
      </c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>
        <f t="shared" si="57"/>
        <v>0</v>
      </c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>
        <f t="shared" si="58"/>
        <v>0</v>
      </c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>
        <f t="shared" si="59"/>
        <v>0</v>
      </c>
      <c r="LK15" s="4">
        <f t="shared" si="60"/>
        <v>0</v>
      </c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>
        <f t="shared" si="61"/>
        <v>0</v>
      </c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>
        <f t="shared" si="62"/>
        <v>0</v>
      </c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>
        <f t="shared" si="63"/>
        <v>0</v>
      </c>
      <c r="MY15" s="4">
        <f t="shared" si="64"/>
        <v>0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67"/>
        <v>0</v>
      </c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>
        <f t="shared" si="68"/>
        <v>0</v>
      </c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>
        <f t="shared" si="69"/>
        <v>0</v>
      </c>
      <c r="OM15" s="4">
        <f t="shared" si="65"/>
        <v>0</v>
      </c>
      <c r="ON15" s="13">
        <f t="shared" si="66"/>
        <v>0</v>
      </c>
    </row>
    <row r="16" spans="1:404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29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30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31"/>
        <v>0</v>
      </c>
      <c r="AQ16" s="4">
        <f t="shared" si="32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33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34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35"/>
        <v>0</v>
      </c>
      <c r="CE16" s="4">
        <f t="shared" si="36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37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38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39"/>
        <v>0</v>
      </c>
      <c r="DS16" s="4">
        <f t="shared" si="40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41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42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43"/>
        <v>0</v>
      </c>
      <c r="FG16" s="4">
        <f t="shared" si="44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45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46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47"/>
        <v>0</v>
      </c>
      <c r="GU16" s="4">
        <f t="shared" si="48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49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50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51"/>
        <v>0</v>
      </c>
      <c r="II16" s="4">
        <f t="shared" si="52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53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54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55"/>
        <v>0</v>
      </c>
      <c r="JW16" s="4">
        <f t="shared" si="56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57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58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59"/>
        <v>0</v>
      </c>
      <c r="LK16" s="4">
        <f t="shared" si="60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61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62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63"/>
        <v>0</v>
      </c>
      <c r="MY16" s="4">
        <f t="shared" si="64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67"/>
        <v>0</v>
      </c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>
        <f t="shared" si="68"/>
        <v>0</v>
      </c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>
        <f t="shared" si="69"/>
        <v>0</v>
      </c>
      <c r="OM16" s="4">
        <f t="shared" si="65"/>
        <v>0</v>
      </c>
      <c r="ON16" s="13">
        <f t="shared" si="66"/>
        <v>0</v>
      </c>
    </row>
    <row r="17" spans="1:404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29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30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31"/>
        <v>0</v>
      </c>
      <c r="AQ17" s="4">
        <f t="shared" si="32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33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34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35"/>
        <v>0</v>
      </c>
      <c r="CE17" s="4">
        <f t="shared" si="36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37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38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39"/>
        <v>0</v>
      </c>
      <c r="DS17" s="4">
        <f t="shared" si="40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41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42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43"/>
        <v>0</v>
      </c>
      <c r="FG17" s="4">
        <f t="shared" si="44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45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46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47"/>
        <v>0</v>
      </c>
      <c r="GU17" s="4">
        <f t="shared" si="48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49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50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51"/>
        <v>0</v>
      </c>
      <c r="II17" s="4">
        <f t="shared" si="52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53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54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55"/>
        <v>0</v>
      </c>
      <c r="JW17" s="4">
        <f t="shared" si="56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57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58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59"/>
        <v>0</v>
      </c>
      <c r="LK17" s="4">
        <f t="shared" si="60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61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62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63"/>
        <v>0</v>
      </c>
      <c r="MY17" s="4">
        <f t="shared" si="64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67"/>
        <v>0</v>
      </c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>
        <f t="shared" si="68"/>
        <v>0</v>
      </c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>
        <f t="shared" si="69"/>
        <v>0</v>
      </c>
      <c r="OM17" s="4">
        <f t="shared" si="65"/>
        <v>0</v>
      </c>
      <c r="ON17" s="13">
        <f t="shared" si="66"/>
        <v>0</v>
      </c>
    </row>
    <row r="18" spans="1:404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29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30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31"/>
        <v>0</v>
      </c>
      <c r="AQ18" s="4">
        <f t="shared" si="32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33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34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35"/>
        <v>0</v>
      </c>
      <c r="CE18" s="4">
        <f t="shared" si="36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37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38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39"/>
        <v>0</v>
      </c>
      <c r="DS18" s="4">
        <f t="shared" si="40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41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42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43"/>
        <v>0</v>
      </c>
      <c r="FG18" s="4">
        <f t="shared" si="44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45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46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47"/>
        <v>0</v>
      </c>
      <c r="GU18" s="4">
        <f t="shared" si="48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49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50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51"/>
        <v>0</v>
      </c>
      <c r="II18" s="4">
        <f t="shared" si="52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53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54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55"/>
        <v>0</v>
      </c>
      <c r="JW18" s="4">
        <f t="shared" si="56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57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58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59"/>
        <v>0</v>
      </c>
      <c r="LK18" s="4">
        <f t="shared" si="60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61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62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63"/>
        <v>0</v>
      </c>
      <c r="MY18" s="4">
        <f t="shared" si="64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67"/>
        <v>0</v>
      </c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>
        <f t="shared" si="68"/>
        <v>0</v>
      </c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>
        <f t="shared" si="69"/>
        <v>0</v>
      </c>
      <c r="OM18" s="4">
        <f t="shared" si="65"/>
        <v>0</v>
      </c>
      <c r="ON18" s="13">
        <f t="shared" si="66"/>
        <v>0</v>
      </c>
    </row>
    <row r="19" spans="1:404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29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30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31"/>
        <v>0</v>
      </c>
      <c r="AQ19" s="4">
        <f t="shared" si="32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33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34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35"/>
        <v>0</v>
      </c>
      <c r="CE19" s="4">
        <f t="shared" si="36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37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38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39"/>
        <v>0</v>
      </c>
      <c r="DS19" s="4">
        <f t="shared" si="40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41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42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43"/>
        <v>0</v>
      </c>
      <c r="FG19" s="4">
        <f t="shared" si="44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45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46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47"/>
        <v>0</v>
      </c>
      <c r="GU19" s="4">
        <f t="shared" si="48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49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50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51"/>
        <v>0</v>
      </c>
      <c r="II19" s="4">
        <f t="shared" si="52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53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54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55"/>
        <v>0</v>
      </c>
      <c r="JW19" s="4">
        <f t="shared" si="56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57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58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59"/>
        <v>0</v>
      </c>
      <c r="LK19" s="4">
        <f t="shared" si="60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61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62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63"/>
        <v>0</v>
      </c>
      <c r="MY19" s="4">
        <f t="shared" si="64"/>
        <v>0</v>
      </c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>
        <f t="shared" si="67"/>
        <v>0</v>
      </c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>
        <f t="shared" si="68"/>
        <v>0</v>
      </c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>
        <f t="shared" si="69"/>
        <v>0</v>
      </c>
      <c r="OM19" s="4">
        <f t="shared" si="65"/>
        <v>0</v>
      </c>
      <c r="ON19" s="13">
        <f t="shared" si="66"/>
        <v>0</v>
      </c>
    </row>
    <row r="20" spans="1:404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29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30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31"/>
        <v>0</v>
      </c>
      <c r="AQ20" s="4">
        <f t="shared" si="32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33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34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35"/>
        <v>0</v>
      </c>
      <c r="CE20" s="4">
        <f t="shared" si="36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37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38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39"/>
        <v>0</v>
      </c>
      <c r="DS20" s="4">
        <f t="shared" si="40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41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42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43"/>
        <v>0</v>
      </c>
      <c r="FG20" s="4">
        <f t="shared" si="44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45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46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47"/>
        <v>0</v>
      </c>
      <c r="GU20" s="4">
        <f t="shared" si="48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49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50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51"/>
        <v>0</v>
      </c>
      <c r="II20" s="4">
        <f t="shared" si="52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53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54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55"/>
        <v>0</v>
      </c>
      <c r="JW20" s="4">
        <f t="shared" si="56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57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58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59"/>
        <v>0</v>
      </c>
      <c r="LK20" s="4">
        <f t="shared" si="60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61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62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63"/>
        <v>0</v>
      </c>
      <c r="MY20" s="4">
        <f t="shared" si="64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67"/>
        <v>0</v>
      </c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>
        <f t="shared" si="68"/>
        <v>0</v>
      </c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>
        <f t="shared" si="69"/>
        <v>0</v>
      </c>
      <c r="OM20" s="4">
        <f t="shared" si="65"/>
        <v>0</v>
      </c>
      <c r="ON20" s="13">
        <f t="shared" si="66"/>
        <v>0</v>
      </c>
    </row>
    <row r="21" spans="1:404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29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30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31"/>
        <v>0</v>
      </c>
      <c r="AQ21" s="4">
        <f t="shared" si="32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33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34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35"/>
        <v>0</v>
      </c>
      <c r="CE21" s="4">
        <f t="shared" si="36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37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38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39"/>
        <v>0</v>
      </c>
      <c r="DS21" s="4">
        <f t="shared" si="40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41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42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43"/>
        <v>0</v>
      </c>
      <c r="FG21" s="4">
        <f t="shared" si="44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45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46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47"/>
        <v>0</v>
      </c>
      <c r="GU21" s="4">
        <f t="shared" si="48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49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50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51"/>
        <v>0</v>
      </c>
      <c r="II21" s="4">
        <f t="shared" si="52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53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54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55"/>
        <v>0</v>
      </c>
      <c r="JW21" s="4">
        <f t="shared" si="56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57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58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59"/>
        <v>0</v>
      </c>
      <c r="LK21" s="4">
        <f t="shared" si="60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61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62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63"/>
        <v>0</v>
      </c>
      <c r="MY21" s="4">
        <f t="shared" si="64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67"/>
        <v>0</v>
      </c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>
        <f t="shared" si="68"/>
        <v>0</v>
      </c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>
        <f t="shared" si="69"/>
        <v>0</v>
      </c>
      <c r="OM21" s="4">
        <f t="shared" si="65"/>
        <v>0</v>
      </c>
      <c r="ON21" s="13">
        <f t="shared" si="66"/>
        <v>0</v>
      </c>
    </row>
    <row r="22" spans="1:404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29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30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31"/>
        <v>0</v>
      </c>
      <c r="AQ22" s="4">
        <f t="shared" si="32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33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34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35"/>
        <v>0</v>
      </c>
      <c r="CE22" s="4">
        <f t="shared" si="36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37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38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39"/>
        <v>0</v>
      </c>
      <c r="DS22" s="4">
        <f t="shared" si="40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41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42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43"/>
        <v>0</v>
      </c>
      <c r="FG22" s="4">
        <f t="shared" si="44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45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46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47"/>
        <v>0</v>
      </c>
      <c r="GU22" s="4">
        <f t="shared" si="48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49"/>
        <v>0</v>
      </c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>
        <f t="shared" si="50"/>
        <v>0</v>
      </c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>
        <f t="shared" si="51"/>
        <v>0</v>
      </c>
      <c r="II22" s="4">
        <f t="shared" si="52"/>
        <v>0</v>
      </c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>
        <f t="shared" si="53"/>
        <v>0</v>
      </c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f t="shared" si="54"/>
        <v>0</v>
      </c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>
        <f t="shared" si="55"/>
        <v>0</v>
      </c>
      <c r="JW22" s="4">
        <f t="shared" si="56"/>
        <v>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57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58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59"/>
        <v>0</v>
      </c>
      <c r="LK22" s="4">
        <f t="shared" si="60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61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62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63"/>
        <v>0</v>
      </c>
      <c r="MY22" s="4">
        <f t="shared" si="64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67"/>
        <v>0</v>
      </c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>
        <f t="shared" si="68"/>
        <v>0</v>
      </c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>
        <f t="shared" si="69"/>
        <v>0</v>
      </c>
      <c r="OM22" s="4">
        <f t="shared" si="65"/>
        <v>0</v>
      </c>
      <c r="ON22" s="13">
        <f t="shared" si="66"/>
        <v>0</v>
      </c>
    </row>
    <row r="23" spans="1:404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29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30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31"/>
        <v>0</v>
      </c>
      <c r="AQ23" s="4">
        <f t="shared" si="32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33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34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35"/>
        <v>0</v>
      </c>
      <c r="CE23" s="4">
        <f t="shared" si="36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37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38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39"/>
        <v>0</v>
      </c>
      <c r="DS23" s="4">
        <f t="shared" si="40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41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42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43"/>
        <v>0</v>
      </c>
      <c r="FG23" s="4">
        <f t="shared" si="44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45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46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47"/>
        <v>0</v>
      </c>
      <c r="GU23" s="4">
        <f t="shared" si="48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49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50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51"/>
        <v>0</v>
      </c>
      <c r="II23" s="4">
        <f t="shared" si="52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53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54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55"/>
        <v>0</v>
      </c>
      <c r="JW23" s="4">
        <f t="shared" si="56"/>
        <v>0</v>
      </c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>
        <f t="shared" si="57"/>
        <v>0</v>
      </c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>
        <f t="shared" si="58"/>
        <v>0</v>
      </c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>
        <f t="shared" si="59"/>
        <v>0</v>
      </c>
      <c r="LK23" s="4">
        <f t="shared" si="60"/>
        <v>0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>
        <f t="shared" si="61"/>
        <v>0</v>
      </c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>
        <f t="shared" si="62"/>
        <v>0</v>
      </c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>
        <f t="shared" si="63"/>
        <v>0</v>
      </c>
      <c r="MY23" s="4">
        <f t="shared" si="64"/>
        <v>0</v>
      </c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>
        <f t="shared" si="67"/>
        <v>0</v>
      </c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>
        <f t="shared" si="68"/>
        <v>0</v>
      </c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>
        <f t="shared" si="69"/>
        <v>0</v>
      </c>
      <c r="OM23" s="4">
        <f t="shared" si="65"/>
        <v>0</v>
      </c>
      <c r="ON23" s="13">
        <f t="shared" si="66"/>
        <v>0</v>
      </c>
    </row>
    <row r="24" spans="1:404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29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30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31"/>
        <v>0</v>
      </c>
      <c r="AQ24" s="4">
        <f t="shared" si="32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33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34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35"/>
        <v>0</v>
      </c>
      <c r="CE24" s="4">
        <f t="shared" si="36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37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38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39"/>
        <v>0</v>
      </c>
      <c r="DS24" s="4">
        <f t="shared" si="40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41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42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43"/>
        <v>0</v>
      </c>
      <c r="FG24" s="4">
        <f t="shared" si="44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45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46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47"/>
        <v>0</v>
      </c>
      <c r="GU24" s="4">
        <f t="shared" si="48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49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50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51"/>
        <v>0</v>
      </c>
      <c r="II24" s="4">
        <f t="shared" si="52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53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54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55"/>
        <v>0</v>
      </c>
      <c r="JW24" s="4">
        <f t="shared" si="56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57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58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59"/>
        <v>0</v>
      </c>
      <c r="LK24" s="4">
        <f t="shared" si="60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61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62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63"/>
        <v>0</v>
      </c>
      <c r="MY24" s="4">
        <f t="shared" si="64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67"/>
        <v>0</v>
      </c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>
        <f t="shared" si="68"/>
        <v>0</v>
      </c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>
        <f t="shared" si="69"/>
        <v>0</v>
      </c>
      <c r="OM24" s="4">
        <f t="shared" si="65"/>
        <v>0</v>
      </c>
      <c r="ON24" s="13">
        <f t="shared" si="66"/>
        <v>0</v>
      </c>
    </row>
    <row r="25" spans="1:404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29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30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31"/>
        <v>0</v>
      </c>
      <c r="AQ25" s="4">
        <f t="shared" si="32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33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34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35"/>
        <v>0</v>
      </c>
      <c r="CE25" s="4">
        <f t="shared" si="36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37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38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39"/>
        <v>0</v>
      </c>
      <c r="DS25" s="4">
        <f t="shared" si="40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41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42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43"/>
        <v>0</v>
      </c>
      <c r="FG25" s="4">
        <f t="shared" si="44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45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46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47"/>
        <v>0</v>
      </c>
      <c r="GU25" s="4">
        <f t="shared" si="48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49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50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51"/>
        <v>0</v>
      </c>
      <c r="II25" s="4">
        <f t="shared" si="52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53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54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55"/>
        <v>0</v>
      </c>
      <c r="JW25" s="4">
        <f t="shared" si="56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57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58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59"/>
        <v>0</v>
      </c>
      <c r="LK25" s="4">
        <f t="shared" si="60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61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62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63"/>
        <v>0</v>
      </c>
      <c r="MY25" s="4">
        <f t="shared" si="64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67"/>
        <v>0</v>
      </c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>
        <f t="shared" si="68"/>
        <v>0</v>
      </c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>
        <f t="shared" si="69"/>
        <v>0</v>
      </c>
      <c r="OM25" s="4">
        <f t="shared" si="65"/>
        <v>0</v>
      </c>
      <c r="ON25" s="13">
        <f t="shared" si="66"/>
        <v>0</v>
      </c>
    </row>
    <row r="26" spans="1:404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29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30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31"/>
        <v>0</v>
      </c>
      <c r="AQ26" s="4">
        <f t="shared" si="32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33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34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35"/>
        <v>0</v>
      </c>
      <c r="CE26" s="4">
        <f t="shared" si="36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37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38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39"/>
        <v>0</v>
      </c>
      <c r="DS26" s="4">
        <f t="shared" si="40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41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42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43"/>
        <v>0</v>
      </c>
      <c r="FG26" s="4">
        <f t="shared" si="44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45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46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47"/>
        <v>0</v>
      </c>
      <c r="GU26" s="4">
        <f t="shared" si="48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49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50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51"/>
        <v>0</v>
      </c>
      <c r="II26" s="4">
        <f t="shared" si="52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53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54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55"/>
        <v>0</v>
      </c>
      <c r="JW26" s="4">
        <f t="shared" si="56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57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58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59"/>
        <v>0</v>
      </c>
      <c r="LK26" s="4">
        <f t="shared" si="60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61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62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63"/>
        <v>0</v>
      </c>
      <c r="MY26" s="4">
        <f t="shared" si="64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67"/>
        <v>0</v>
      </c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>
        <f t="shared" si="68"/>
        <v>0</v>
      </c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>
        <f t="shared" si="69"/>
        <v>0</v>
      </c>
      <c r="OM26" s="4">
        <f t="shared" si="65"/>
        <v>0</v>
      </c>
      <c r="ON26" s="13">
        <f t="shared" si="66"/>
        <v>0</v>
      </c>
    </row>
    <row r="27" spans="1:404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29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30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31"/>
        <v>0</v>
      </c>
      <c r="AQ27" s="4">
        <f t="shared" si="32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33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34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35"/>
        <v>0</v>
      </c>
      <c r="CE27" s="4">
        <f t="shared" si="36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37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38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39"/>
        <v>0</v>
      </c>
      <c r="DS27" s="4">
        <f t="shared" si="40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41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42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43"/>
        <v>0</v>
      </c>
      <c r="FG27" s="4">
        <f t="shared" si="44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45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46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47"/>
        <v>0</v>
      </c>
      <c r="GU27" s="4">
        <f t="shared" si="48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49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50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51"/>
        <v>0</v>
      </c>
      <c r="II27" s="4">
        <f t="shared" si="52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53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54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55"/>
        <v>0</v>
      </c>
      <c r="JW27" s="4">
        <f t="shared" si="56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57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58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59"/>
        <v>0</v>
      </c>
      <c r="LK27" s="4">
        <f t="shared" si="60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61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62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63"/>
        <v>0</v>
      </c>
      <c r="MY27" s="4">
        <f t="shared" si="64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67"/>
        <v>0</v>
      </c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>
        <f t="shared" si="68"/>
        <v>0</v>
      </c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>
        <f t="shared" si="69"/>
        <v>0</v>
      </c>
      <c r="OM27" s="4">
        <f t="shared" si="65"/>
        <v>0</v>
      </c>
      <c r="ON27" s="13">
        <f t="shared" si="66"/>
        <v>0</v>
      </c>
    </row>
    <row r="28" spans="1:404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29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30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31"/>
        <v>0</v>
      </c>
      <c r="AQ28" s="4">
        <f t="shared" si="32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33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34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35"/>
        <v>0</v>
      </c>
      <c r="CE28" s="4">
        <f t="shared" si="36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37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38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39"/>
        <v>0</v>
      </c>
      <c r="DS28" s="4">
        <f t="shared" si="40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41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42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43"/>
        <v>0</v>
      </c>
      <c r="FG28" s="4">
        <f t="shared" si="44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45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46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47"/>
        <v>0</v>
      </c>
      <c r="GU28" s="4">
        <f t="shared" si="48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49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50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51"/>
        <v>0</v>
      </c>
      <c r="II28" s="4">
        <f t="shared" si="52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53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54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55"/>
        <v>0</v>
      </c>
      <c r="JW28" s="4">
        <f t="shared" si="56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57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58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59"/>
        <v>0</v>
      </c>
      <c r="LK28" s="4">
        <f t="shared" si="60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61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62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63"/>
        <v>0</v>
      </c>
      <c r="MY28" s="4">
        <f t="shared" si="64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67"/>
        <v>0</v>
      </c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>
        <f t="shared" si="68"/>
        <v>0</v>
      </c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>
        <f t="shared" si="69"/>
        <v>0</v>
      </c>
      <c r="OM28" s="4">
        <f t="shared" si="65"/>
        <v>0</v>
      </c>
      <c r="ON28" s="13">
        <f t="shared" si="66"/>
        <v>0</v>
      </c>
    </row>
    <row r="29" spans="1:404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29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30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31"/>
        <v>0</v>
      </c>
      <c r="AQ29" s="4">
        <f t="shared" si="32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33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34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35"/>
        <v>0</v>
      </c>
      <c r="CE29" s="4">
        <f t="shared" si="36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37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38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39"/>
        <v>0</v>
      </c>
      <c r="DS29" s="4">
        <f t="shared" si="40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41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42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43"/>
        <v>0</v>
      </c>
      <c r="FG29" s="4">
        <f t="shared" si="44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45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46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47"/>
        <v>0</v>
      </c>
      <c r="GU29" s="4">
        <f t="shared" si="48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49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50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51"/>
        <v>0</v>
      </c>
      <c r="II29" s="4">
        <f t="shared" si="52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53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54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55"/>
        <v>0</v>
      </c>
      <c r="JW29" s="4">
        <f t="shared" si="56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57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58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59"/>
        <v>0</v>
      </c>
      <c r="LK29" s="4">
        <f t="shared" si="60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61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62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63"/>
        <v>0</v>
      </c>
      <c r="MY29" s="4">
        <f t="shared" si="64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67"/>
        <v>0</v>
      </c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>
        <f t="shared" si="68"/>
        <v>0</v>
      </c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>
        <f t="shared" si="69"/>
        <v>0</v>
      </c>
      <c r="OM29" s="4">
        <f t="shared" si="65"/>
        <v>0</v>
      </c>
      <c r="ON29" s="13">
        <f t="shared" si="66"/>
        <v>0</v>
      </c>
    </row>
    <row r="30" spans="1:404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29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30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31"/>
        <v>0</v>
      </c>
      <c r="AQ30" s="4">
        <f t="shared" si="32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33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34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35"/>
        <v>0</v>
      </c>
      <c r="CE30" s="4">
        <f t="shared" si="36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37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38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39"/>
        <v>0</v>
      </c>
      <c r="DS30" s="4">
        <f t="shared" si="40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41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42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43"/>
        <v>0</v>
      </c>
      <c r="FG30" s="4">
        <f t="shared" si="44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45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46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47"/>
        <v>0</v>
      </c>
      <c r="GU30" s="4">
        <f t="shared" si="48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49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50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51"/>
        <v>0</v>
      </c>
      <c r="II30" s="4">
        <f t="shared" si="52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53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54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55"/>
        <v>0</v>
      </c>
      <c r="JW30" s="4">
        <f t="shared" si="56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57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58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59"/>
        <v>0</v>
      </c>
      <c r="LK30" s="4">
        <f t="shared" si="60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61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62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63"/>
        <v>0</v>
      </c>
      <c r="MY30" s="4">
        <f t="shared" si="64"/>
        <v>0</v>
      </c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>
        <f t="shared" si="67"/>
        <v>0</v>
      </c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>
        <f t="shared" si="68"/>
        <v>0</v>
      </c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>
        <f t="shared" si="69"/>
        <v>0</v>
      </c>
      <c r="OM30" s="4">
        <f t="shared" si="65"/>
        <v>0</v>
      </c>
      <c r="ON30" s="13">
        <f t="shared" si="66"/>
        <v>0</v>
      </c>
    </row>
    <row r="31" spans="1:404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29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30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31"/>
        <v>0</v>
      </c>
      <c r="AQ31" s="4">
        <f t="shared" si="32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33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34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35"/>
        <v>0</v>
      </c>
      <c r="CE31" s="4">
        <f t="shared" si="36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37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38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39"/>
        <v>0</v>
      </c>
      <c r="DS31" s="4">
        <f t="shared" si="40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41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42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43"/>
        <v>0</v>
      </c>
      <c r="FG31" s="4">
        <f t="shared" si="44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45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46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47"/>
        <v>0</v>
      </c>
      <c r="GU31" s="4">
        <f t="shared" si="48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49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50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51"/>
        <v>0</v>
      </c>
      <c r="II31" s="4">
        <f t="shared" si="52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53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54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55"/>
        <v>0</v>
      </c>
      <c r="JW31" s="4">
        <f t="shared" si="56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57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58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59"/>
        <v>0</v>
      </c>
      <c r="LK31" s="4">
        <f t="shared" si="60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61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62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63"/>
        <v>0</v>
      </c>
      <c r="MY31" s="4">
        <f t="shared" si="64"/>
        <v>0</v>
      </c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>
        <f>SUM(MZ31:NK31)</f>
        <v>0</v>
      </c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>
        <f>SUM(NM31:NX31)</f>
        <v>0</v>
      </c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>
        <f>SUM(NZ31:OK31)</f>
        <v>0</v>
      </c>
      <c r="OM31" s="4">
        <f t="shared" si="65"/>
        <v>0</v>
      </c>
      <c r="ON31" s="13">
        <f t="shared" si="66"/>
        <v>0</v>
      </c>
    </row>
    <row r="32" spans="1:404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29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30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31"/>
        <v>0</v>
      </c>
      <c r="AQ32" s="4">
        <f t="shared" si="32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33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34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35"/>
        <v>0</v>
      </c>
      <c r="CE32" s="4">
        <f t="shared" si="36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37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38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39"/>
        <v>0</v>
      </c>
      <c r="DS32" s="4">
        <f t="shared" si="40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41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42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43"/>
        <v>0</v>
      </c>
      <c r="FG32" s="4">
        <f t="shared" si="44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45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46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47"/>
        <v>0</v>
      </c>
      <c r="GU32" s="4">
        <f t="shared" si="48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49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50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51"/>
        <v>0</v>
      </c>
      <c r="II32" s="4">
        <f t="shared" si="52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53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54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55"/>
        <v>0</v>
      </c>
      <c r="JW32" s="4">
        <f t="shared" si="56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57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58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59"/>
        <v>0</v>
      </c>
      <c r="LK32" s="4">
        <f t="shared" si="60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61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62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63"/>
        <v>0</v>
      </c>
      <c r="MY32" s="4">
        <f t="shared" si="64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67"/>
        <v>0</v>
      </c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>
        <f t="shared" ref="NY32:NY40" si="70">SUM(NM32:NX32)</f>
        <v>0</v>
      </c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>
        <f t="shared" ref="OL32:OM40" si="71">SUM(NZ32:OK32)</f>
        <v>0</v>
      </c>
      <c r="OM32" s="4">
        <f t="shared" si="65"/>
        <v>0</v>
      </c>
      <c r="ON32" s="13">
        <f t="shared" si="66"/>
        <v>0</v>
      </c>
    </row>
    <row r="33" spans="1:404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29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30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31"/>
        <v>0</v>
      </c>
      <c r="AQ33" s="4">
        <f t="shared" si="32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33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34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35"/>
        <v>0</v>
      </c>
      <c r="CE33" s="4">
        <f t="shared" si="36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37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38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39"/>
        <v>0</v>
      </c>
      <c r="DS33" s="4">
        <f t="shared" si="40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41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42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43"/>
        <v>0</v>
      </c>
      <c r="FG33" s="4">
        <f t="shared" si="44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45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46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47"/>
        <v>0</v>
      </c>
      <c r="GU33" s="4">
        <f t="shared" si="48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49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50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51"/>
        <v>0</v>
      </c>
      <c r="II33" s="4">
        <f t="shared" si="52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53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54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55"/>
        <v>0</v>
      </c>
      <c r="JW33" s="4">
        <f t="shared" si="56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57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58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59"/>
        <v>0</v>
      </c>
      <c r="LK33" s="4">
        <f t="shared" si="60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61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62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63"/>
        <v>0</v>
      </c>
      <c r="MY33" s="4">
        <f t="shared" si="64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67"/>
        <v>0</v>
      </c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>
        <f t="shared" si="70"/>
        <v>0</v>
      </c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>
        <f t="shared" si="71"/>
        <v>0</v>
      </c>
      <c r="OM33" s="4">
        <f t="shared" si="65"/>
        <v>0</v>
      </c>
      <c r="ON33" s="13">
        <f t="shared" si="66"/>
        <v>0</v>
      </c>
    </row>
    <row r="34" spans="1:404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29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30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31"/>
        <v>0</v>
      </c>
      <c r="AQ34" s="4">
        <f t="shared" si="32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33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34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35"/>
        <v>0</v>
      </c>
      <c r="CE34" s="4">
        <f t="shared" si="36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37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38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39"/>
        <v>0</v>
      </c>
      <c r="DS34" s="4">
        <f t="shared" si="40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41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42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43"/>
        <v>0</v>
      </c>
      <c r="FG34" s="4">
        <f t="shared" si="44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45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46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47"/>
        <v>0</v>
      </c>
      <c r="GU34" s="4">
        <f t="shared" si="48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49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50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51"/>
        <v>0</v>
      </c>
      <c r="II34" s="4">
        <f t="shared" si="52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53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54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55"/>
        <v>0</v>
      </c>
      <c r="JW34" s="4">
        <f t="shared" si="56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57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58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59"/>
        <v>0</v>
      </c>
      <c r="LK34" s="4">
        <f t="shared" si="60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61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62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63"/>
        <v>0</v>
      </c>
      <c r="MY34" s="4">
        <f t="shared" si="64"/>
        <v>0</v>
      </c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>
        <f t="shared" si="67"/>
        <v>0</v>
      </c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>
        <f t="shared" si="70"/>
        <v>0</v>
      </c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>
        <f t="shared" si="71"/>
        <v>0</v>
      </c>
      <c r="OM34" s="4">
        <f t="shared" si="65"/>
        <v>0</v>
      </c>
      <c r="ON34" s="13">
        <f t="shared" si="66"/>
        <v>0</v>
      </c>
    </row>
    <row r="35" spans="1:404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29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30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31"/>
        <v>0</v>
      </c>
      <c r="AQ35" s="4">
        <f t="shared" si="32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33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34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35"/>
        <v>0</v>
      </c>
      <c r="CE35" s="4">
        <f t="shared" si="36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37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38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39"/>
        <v>0</v>
      </c>
      <c r="DS35" s="4">
        <f t="shared" si="40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41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42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43"/>
        <v>0</v>
      </c>
      <c r="FG35" s="4">
        <f t="shared" si="44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45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46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47"/>
        <v>0</v>
      </c>
      <c r="GU35" s="4">
        <f t="shared" si="48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49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50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51"/>
        <v>0</v>
      </c>
      <c r="II35" s="4">
        <f t="shared" si="52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53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54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55"/>
        <v>0</v>
      </c>
      <c r="JW35" s="4">
        <f t="shared" si="56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57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58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59"/>
        <v>0</v>
      </c>
      <c r="LK35" s="4">
        <f t="shared" si="60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61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62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63"/>
        <v>0</v>
      </c>
      <c r="MY35" s="4">
        <f t="shared" si="64"/>
        <v>0</v>
      </c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4">
        <f t="shared" si="67"/>
        <v>0</v>
      </c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4">
        <f t="shared" si="70"/>
        <v>0</v>
      </c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4">
        <f t="shared" si="71"/>
        <v>0</v>
      </c>
      <c r="OM35" s="4">
        <f t="shared" si="65"/>
        <v>0</v>
      </c>
      <c r="ON35" s="13">
        <f t="shared" si="66"/>
        <v>0</v>
      </c>
    </row>
    <row r="36" spans="1:404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29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30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31"/>
        <v>0</v>
      </c>
      <c r="AQ36" s="4">
        <f t="shared" si="32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33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34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35"/>
        <v>0</v>
      </c>
      <c r="CE36" s="4">
        <f t="shared" si="36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37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38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39"/>
        <v>0</v>
      </c>
      <c r="DS36" s="4">
        <f t="shared" si="40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41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42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43"/>
        <v>0</v>
      </c>
      <c r="FG36" s="4">
        <f t="shared" si="44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45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46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47"/>
        <v>0</v>
      </c>
      <c r="GU36" s="4">
        <f t="shared" si="48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49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50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51"/>
        <v>0</v>
      </c>
      <c r="II36" s="4">
        <f t="shared" si="52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53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54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55"/>
        <v>0</v>
      </c>
      <c r="JW36" s="4">
        <f t="shared" si="56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57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58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59"/>
        <v>0</v>
      </c>
      <c r="LK36" s="4">
        <f t="shared" si="60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61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62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63"/>
        <v>0</v>
      </c>
      <c r="MY36" s="4">
        <f t="shared" si="64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67"/>
        <v>0</v>
      </c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4">
        <f t="shared" si="70"/>
        <v>0</v>
      </c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4">
        <f t="shared" si="71"/>
        <v>0</v>
      </c>
      <c r="OM36" s="4">
        <f t="shared" si="65"/>
        <v>0</v>
      </c>
      <c r="ON36" s="13">
        <f t="shared" si="66"/>
        <v>0</v>
      </c>
    </row>
    <row r="37" spans="1:404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29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30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31"/>
        <v>0</v>
      </c>
      <c r="AQ37" s="4">
        <f t="shared" si="32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33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34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35"/>
        <v>0</v>
      </c>
      <c r="CE37" s="4">
        <f t="shared" si="36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37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38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39"/>
        <v>0</v>
      </c>
      <c r="DS37" s="4">
        <f t="shared" si="40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41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42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43"/>
        <v>0</v>
      </c>
      <c r="FG37" s="4">
        <f t="shared" si="44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45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46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47"/>
        <v>0</v>
      </c>
      <c r="GU37" s="4">
        <f t="shared" si="48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49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50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51"/>
        <v>0</v>
      </c>
      <c r="II37" s="4">
        <f t="shared" si="52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53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54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55"/>
        <v>0</v>
      </c>
      <c r="JW37" s="4">
        <f t="shared" si="56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57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58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59"/>
        <v>0</v>
      </c>
      <c r="LK37" s="4">
        <f t="shared" si="60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61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62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63"/>
        <v>0</v>
      </c>
      <c r="MY37" s="4">
        <f t="shared" si="64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67"/>
        <v>0</v>
      </c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4">
        <f t="shared" si="70"/>
        <v>0</v>
      </c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4">
        <f t="shared" si="71"/>
        <v>0</v>
      </c>
      <c r="OM37" s="4">
        <f t="shared" si="65"/>
        <v>0</v>
      </c>
      <c r="ON37" s="13">
        <f t="shared" si="66"/>
        <v>0</v>
      </c>
    </row>
    <row r="38" spans="1:404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29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30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31"/>
        <v>0</v>
      </c>
      <c r="AQ38" s="4">
        <f t="shared" si="32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33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34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35"/>
        <v>0</v>
      </c>
      <c r="CE38" s="4">
        <f t="shared" si="36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37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38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39"/>
        <v>0</v>
      </c>
      <c r="DS38" s="4">
        <f t="shared" si="40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41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42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43"/>
        <v>0</v>
      </c>
      <c r="FG38" s="4">
        <f t="shared" si="44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45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46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47"/>
        <v>0</v>
      </c>
      <c r="GU38" s="4">
        <f t="shared" si="48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49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50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51"/>
        <v>0</v>
      </c>
      <c r="II38" s="4">
        <f t="shared" si="52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53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54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55"/>
        <v>0</v>
      </c>
      <c r="JW38" s="4">
        <f t="shared" si="56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57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58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59"/>
        <v>0</v>
      </c>
      <c r="LK38" s="4">
        <f t="shared" si="60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61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62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63"/>
        <v>0</v>
      </c>
      <c r="MY38" s="4">
        <f t="shared" si="64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67"/>
        <v>0</v>
      </c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4">
        <f t="shared" si="70"/>
        <v>0</v>
      </c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4">
        <f t="shared" si="71"/>
        <v>0</v>
      </c>
      <c r="OM38" s="4">
        <f t="shared" si="65"/>
        <v>0</v>
      </c>
      <c r="ON38" s="13">
        <f t="shared" si="66"/>
        <v>0</v>
      </c>
    </row>
    <row r="39" spans="1:404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29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30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31"/>
        <v>0</v>
      </c>
      <c r="AQ39" s="4">
        <f t="shared" si="32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33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34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35"/>
        <v>0</v>
      </c>
      <c r="CE39" s="4">
        <f t="shared" si="36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37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38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39"/>
        <v>0</v>
      </c>
      <c r="DS39" s="4">
        <f t="shared" si="40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41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42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43"/>
        <v>0</v>
      </c>
      <c r="FG39" s="4">
        <f t="shared" si="44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45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46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47"/>
        <v>0</v>
      </c>
      <c r="GU39" s="4">
        <f t="shared" si="48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49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50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51"/>
        <v>0</v>
      </c>
      <c r="II39" s="4">
        <f t="shared" si="52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53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54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55"/>
        <v>0</v>
      </c>
      <c r="JW39" s="4">
        <f t="shared" si="56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57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58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59"/>
        <v>0</v>
      </c>
      <c r="LK39" s="4">
        <f t="shared" si="60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61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62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63"/>
        <v>0</v>
      </c>
      <c r="MY39" s="4">
        <f t="shared" si="64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67"/>
        <v>0</v>
      </c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4">
        <f t="shared" si="70"/>
        <v>0</v>
      </c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4">
        <f t="shared" si="71"/>
        <v>0</v>
      </c>
      <c r="OM39" s="4">
        <f t="shared" si="65"/>
        <v>0</v>
      </c>
      <c r="ON39" s="13">
        <f t="shared" si="66"/>
        <v>0</v>
      </c>
    </row>
    <row r="40" spans="1:404" s="10" customFormat="1" ht="21.75" thickBot="1" x14ac:dyDescent="0.4">
      <c r="A40" s="8"/>
      <c r="B40" s="8"/>
      <c r="C40" s="8"/>
      <c r="D40" s="9">
        <f>SUM(D6:D39)</f>
        <v>149940</v>
      </c>
      <c r="E40" s="9">
        <f t="shared" ref="E40:O40" si="72">SUM(E6:E39)</f>
        <v>149940</v>
      </c>
      <c r="F40" s="9">
        <f t="shared" si="72"/>
        <v>149940</v>
      </c>
      <c r="G40" s="9">
        <f t="shared" si="72"/>
        <v>149940</v>
      </c>
      <c r="H40" s="9">
        <f t="shared" si="72"/>
        <v>149940</v>
      </c>
      <c r="I40" s="9">
        <f t="shared" si="72"/>
        <v>149940</v>
      </c>
      <c r="J40" s="9">
        <f t="shared" si="72"/>
        <v>198800</v>
      </c>
      <c r="K40" s="9">
        <f t="shared" si="72"/>
        <v>156920</v>
      </c>
      <c r="L40" s="9">
        <f t="shared" si="72"/>
        <v>156920</v>
      </c>
      <c r="M40" s="9">
        <f t="shared" si="72"/>
        <v>156920</v>
      </c>
      <c r="N40" s="9">
        <f t="shared" si="72"/>
        <v>156920</v>
      </c>
      <c r="O40" s="9">
        <f t="shared" si="72"/>
        <v>156920</v>
      </c>
      <c r="P40" s="25">
        <f t="shared" si="29"/>
        <v>1883040</v>
      </c>
      <c r="Q40" s="9">
        <f>SUM(Q6:Q39)</f>
        <v>3750</v>
      </c>
      <c r="R40" s="9">
        <f t="shared" ref="R40:AB40" si="73">SUM(R6:R39)</f>
        <v>3750</v>
      </c>
      <c r="S40" s="9">
        <f t="shared" si="73"/>
        <v>3750</v>
      </c>
      <c r="T40" s="9">
        <f t="shared" si="73"/>
        <v>3750</v>
      </c>
      <c r="U40" s="9">
        <f t="shared" si="73"/>
        <v>3750</v>
      </c>
      <c r="V40" s="9">
        <f t="shared" si="73"/>
        <v>3750</v>
      </c>
      <c r="W40" s="9">
        <f t="shared" si="73"/>
        <v>3750</v>
      </c>
      <c r="X40" s="9">
        <f t="shared" si="73"/>
        <v>3750</v>
      </c>
      <c r="Y40" s="9">
        <f t="shared" si="73"/>
        <v>3750</v>
      </c>
      <c r="Z40" s="9">
        <f t="shared" si="73"/>
        <v>3750</v>
      </c>
      <c r="AA40" s="9">
        <f t="shared" si="73"/>
        <v>3750</v>
      </c>
      <c r="AB40" s="9">
        <f t="shared" si="73"/>
        <v>3750</v>
      </c>
      <c r="AC40" s="25">
        <f t="shared" si="30"/>
        <v>45000</v>
      </c>
      <c r="AD40" s="9">
        <f>SUM(AD6:AD39)</f>
        <v>2709</v>
      </c>
      <c r="AE40" s="9">
        <f t="shared" ref="AE40:AO40" si="74">SUM(AE6:AE39)</f>
        <v>2709</v>
      </c>
      <c r="AF40" s="9">
        <f t="shared" si="74"/>
        <v>2709</v>
      </c>
      <c r="AG40" s="9">
        <f t="shared" si="74"/>
        <v>2709</v>
      </c>
      <c r="AH40" s="9">
        <f t="shared" si="74"/>
        <v>2709</v>
      </c>
      <c r="AI40" s="9">
        <f t="shared" si="74"/>
        <v>2709</v>
      </c>
      <c r="AJ40" s="9">
        <f t="shared" si="74"/>
        <v>3626</v>
      </c>
      <c r="AK40" s="9">
        <f t="shared" si="74"/>
        <v>2840</v>
      </c>
      <c r="AL40" s="9">
        <f t="shared" si="74"/>
        <v>2840</v>
      </c>
      <c r="AM40" s="9">
        <f t="shared" si="74"/>
        <v>2840</v>
      </c>
      <c r="AN40" s="9">
        <f t="shared" si="74"/>
        <v>2840</v>
      </c>
      <c r="AO40" s="9">
        <f t="shared" si="74"/>
        <v>2840</v>
      </c>
      <c r="AP40" s="25">
        <f t="shared" si="31"/>
        <v>34080</v>
      </c>
      <c r="AQ40" s="25">
        <f t="shared" si="32"/>
        <v>1962120</v>
      </c>
      <c r="AR40" s="9">
        <f>SUM(AR6:AR39)</f>
        <v>158170</v>
      </c>
      <c r="AS40" s="9">
        <f t="shared" ref="AS40:BC40" si="75">SUM(AS6:AS39)</f>
        <v>158170</v>
      </c>
      <c r="AT40" s="9">
        <f t="shared" si="75"/>
        <v>158170</v>
      </c>
      <c r="AU40" s="9">
        <f t="shared" si="75"/>
        <v>158170</v>
      </c>
      <c r="AV40" s="9">
        <f t="shared" si="75"/>
        <v>158170</v>
      </c>
      <c r="AW40" s="9">
        <f t="shared" si="75"/>
        <v>158170</v>
      </c>
      <c r="AX40" s="9">
        <f t="shared" si="75"/>
        <v>207730</v>
      </c>
      <c r="AY40" s="9">
        <f t="shared" si="75"/>
        <v>165250</v>
      </c>
      <c r="AZ40" s="9">
        <f t="shared" si="75"/>
        <v>165250</v>
      </c>
      <c r="BA40" s="9">
        <f t="shared" si="75"/>
        <v>165250</v>
      </c>
      <c r="BB40" s="9">
        <f t="shared" si="75"/>
        <v>165250</v>
      </c>
      <c r="BC40" s="9">
        <f t="shared" si="75"/>
        <v>165250</v>
      </c>
      <c r="BD40" s="25">
        <f t="shared" si="33"/>
        <v>1983000</v>
      </c>
      <c r="BE40" s="9">
        <f>SUM(BE6:BE39)</f>
        <v>3750</v>
      </c>
      <c r="BF40" s="9">
        <f t="shared" ref="BF40:BP40" si="76">SUM(BF6:BF39)</f>
        <v>3750</v>
      </c>
      <c r="BG40" s="9">
        <f t="shared" si="76"/>
        <v>3750</v>
      </c>
      <c r="BH40" s="9">
        <f t="shared" si="76"/>
        <v>3750</v>
      </c>
      <c r="BI40" s="9">
        <f t="shared" si="76"/>
        <v>3750</v>
      </c>
      <c r="BJ40" s="9">
        <f t="shared" si="76"/>
        <v>3750</v>
      </c>
      <c r="BK40" s="9">
        <f t="shared" si="76"/>
        <v>3750</v>
      </c>
      <c r="BL40" s="9">
        <f t="shared" si="76"/>
        <v>3750</v>
      </c>
      <c r="BM40" s="9">
        <f t="shared" si="76"/>
        <v>3750</v>
      </c>
      <c r="BN40" s="9">
        <f t="shared" si="76"/>
        <v>3750</v>
      </c>
      <c r="BO40" s="9">
        <f t="shared" si="76"/>
        <v>3750</v>
      </c>
      <c r="BP40" s="9">
        <f t="shared" si="76"/>
        <v>3750</v>
      </c>
      <c r="BQ40" s="25">
        <f t="shared" si="34"/>
        <v>45000</v>
      </c>
      <c r="BR40" s="9">
        <f>SUM(BR6:BR39)</f>
        <v>4745</v>
      </c>
      <c r="BS40" s="9">
        <f t="shared" ref="BS40:CC40" si="77">SUM(BS6:BS39)</f>
        <v>4745</v>
      </c>
      <c r="BT40" s="9">
        <f t="shared" si="77"/>
        <v>4745</v>
      </c>
      <c r="BU40" s="9">
        <f t="shared" si="77"/>
        <v>4745</v>
      </c>
      <c r="BV40" s="9">
        <f t="shared" si="77"/>
        <v>4745</v>
      </c>
      <c r="BW40" s="9">
        <f t="shared" si="77"/>
        <v>4745</v>
      </c>
      <c r="BX40" s="9">
        <f t="shared" si="77"/>
        <v>6236</v>
      </c>
      <c r="BY40" s="9">
        <f t="shared" si="77"/>
        <v>4958</v>
      </c>
      <c r="BZ40" s="9">
        <f t="shared" si="77"/>
        <v>4958</v>
      </c>
      <c r="CA40" s="9">
        <f t="shared" si="77"/>
        <v>4958</v>
      </c>
      <c r="CB40" s="9">
        <f t="shared" si="77"/>
        <v>4958</v>
      </c>
      <c r="CC40" s="9">
        <f t="shared" si="77"/>
        <v>4958</v>
      </c>
      <c r="CD40" s="25">
        <f t="shared" si="35"/>
        <v>59496</v>
      </c>
      <c r="CE40" s="25">
        <f t="shared" si="36"/>
        <v>2087496</v>
      </c>
      <c r="CF40" s="9">
        <f>SUM(CF6:CF39)</f>
        <v>90430</v>
      </c>
      <c r="CG40" s="9">
        <f t="shared" ref="CG40:CQ40" si="78">SUM(CG6:CG39)</f>
        <v>90430</v>
      </c>
      <c r="CH40" s="9">
        <f t="shared" si="78"/>
        <v>90430</v>
      </c>
      <c r="CI40" s="9">
        <f t="shared" si="78"/>
        <v>90430</v>
      </c>
      <c r="CJ40" s="9">
        <f t="shared" si="78"/>
        <v>90430</v>
      </c>
      <c r="CK40" s="9">
        <f t="shared" si="78"/>
        <v>90430</v>
      </c>
      <c r="CL40" s="9">
        <f t="shared" si="78"/>
        <v>115420</v>
      </c>
      <c r="CM40" s="9">
        <f t="shared" si="78"/>
        <v>94000</v>
      </c>
      <c r="CN40" s="9">
        <f t="shared" si="78"/>
        <v>94000</v>
      </c>
      <c r="CO40" s="9">
        <f t="shared" si="78"/>
        <v>94000</v>
      </c>
      <c r="CP40" s="9">
        <f t="shared" si="78"/>
        <v>94000</v>
      </c>
      <c r="CQ40" s="9">
        <f t="shared" si="78"/>
        <v>94000</v>
      </c>
      <c r="CR40" s="25">
        <f t="shared" si="37"/>
        <v>1128000</v>
      </c>
      <c r="CS40" s="9">
        <f>SUM(CS6:CS39)</f>
        <v>2250</v>
      </c>
      <c r="CT40" s="9">
        <f t="shared" ref="CT40:DD40" si="79">SUM(CT6:CT39)</f>
        <v>2250</v>
      </c>
      <c r="CU40" s="9">
        <f t="shared" si="79"/>
        <v>2250</v>
      </c>
      <c r="CV40" s="9">
        <f t="shared" si="79"/>
        <v>2250</v>
      </c>
      <c r="CW40" s="9">
        <f t="shared" si="79"/>
        <v>2250</v>
      </c>
      <c r="CX40" s="9">
        <f t="shared" si="79"/>
        <v>2250</v>
      </c>
      <c r="CY40" s="9">
        <f t="shared" si="79"/>
        <v>2250</v>
      </c>
      <c r="CZ40" s="9">
        <f t="shared" si="79"/>
        <v>2250</v>
      </c>
      <c r="DA40" s="9">
        <f t="shared" si="79"/>
        <v>2250</v>
      </c>
      <c r="DB40" s="9">
        <f t="shared" si="79"/>
        <v>2250</v>
      </c>
      <c r="DC40" s="9">
        <f t="shared" si="79"/>
        <v>2250</v>
      </c>
      <c r="DD40" s="9">
        <f t="shared" si="79"/>
        <v>2250</v>
      </c>
      <c r="DE40" s="25">
        <f t="shared" si="38"/>
        <v>27000</v>
      </c>
      <c r="DF40" s="9">
        <f>SUM(DF6:DF39)</f>
        <v>1926</v>
      </c>
      <c r="DG40" s="9">
        <f t="shared" ref="DG40:DQ40" si="80">SUM(DG6:DG39)</f>
        <v>1926</v>
      </c>
      <c r="DH40" s="9">
        <f t="shared" si="80"/>
        <v>1926</v>
      </c>
      <c r="DI40" s="9">
        <f t="shared" si="80"/>
        <v>1926</v>
      </c>
      <c r="DJ40" s="9">
        <f t="shared" si="80"/>
        <v>1926</v>
      </c>
      <c r="DK40" s="9">
        <f t="shared" si="80"/>
        <v>1926</v>
      </c>
      <c r="DL40" s="9">
        <f t="shared" si="80"/>
        <v>2563</v>
      </c>
      <c r="DM40" s="9">
        <f t="shared" si="80"/>
        <v>2017</v>
      </c>
      <c r="DN40" s="9">
        <f t="shared" si="80"/>
        <v>2017</v>
      </c>
      <c r="DO40" s="9">
        <f t="shared" si="80"/>
        <v>2017</v>
      </c>
      <c r="DP40" s="9">
        <f t="shared" si="80"/>
        <v>2017</v>
      </c>
      <c r="DQ40" s="9">
        <f t="shared" si="80"/>
        <v>2017</v>
      </c>
      <c r="DR40" s="25">
        <f t="shared" si="39"/>
        <v>24204</v>
      </c>
      <c r="DS40" s="25">
        <f t="shared" si="40"/>
        <v>1179204</v>
      </c>
      <c r="DT40" s="9">
        <f>SUM(DT6:DT39)</f>
        <v>250400</v>
      </c>
      <c r="DU40" s="9">
        <f t="shared" ref="DU40:EE40" si="81">SUM(DU6:DU39)</f>
        <v>250400</v>
      </c>
      <c r="DV40" s="9">
        <f t="shared" si="81"/>
        <v>250400</v>
      </c>
      <c r="DW40" s="9">
        <f t="shared" si="81"/>
        <v>250400</v>
      </c>
      <c r="DX40" s="9">
        <f t="shared" si="81"/>
        <v>250400</v>
      </c>
      <c r="DY40" s="9">
        <f t="shared" si="81"/>
        <v>250400</v>
      </c>
      <c r="DZ40" s="9">
        <f t="shared" si="81"/>
        <v>276510</v>
      </c>
      <c r="EA40" s="9">
        <f t="shared" si="81"/>
        <v>198200</v>
      </c>
      <c r="EB40" s="9">
        <f t="shared" si="81"/>
        <v>198200</v>
      </c>
      <c r="EC40" s="9">
        <f t="shared" si="81"/>
        <v>198200</v>
      </c>
      <c r="ED40" s="9">
        <f t="shared" si="81"/>
        <v>198200</v>
      </c>
      <c r="EE40" s="9">
        <f t="shared" si="81"/>
        <v>198200</v>
      </c>
      <c r="EF40" s="25">
        <f t="shared" si="41"/>
        <v>2769910</v>
      </c>
      <c r="EG40" s="9">
        <f>SUM(EG6:EG39)</f>
        <v>6000</v>
      </c>
      <c r="EH40" s="9">
        <f t="shared" ref="EH40:ER40" si="82">SUM(EH6:EH39)</f>
        <v>6000</v>
      </c>
      <c r="EI40" s="9">
        <f t="shared" si="82"/>
        <v>6000</v>
      </c>
      <c r="EJ40" s="9">
        <f t="shared" si="82"/>
        <v>6000</v>
      </c>
      <c r="EK40" s="9">
        <f t="shared" si="82"/>
        <v>6000</v>
      </c>
      <c r="EL40" s="9">
        <f t="shared" si="82"/>
        <v>6000</v>
      </c>
      <c r="EM40" s="9">
        <f t="shared" si="82"/>
        <v>5250</v>
      </c>
      <c r="EN40" s="9">
        <f t="shared" si="82"/>
        <v>4500</v>
      </c>
      <c r="EO40" s="9">
        <f t="shared" si="82"/>
        <v>4500</v>
      </c>
      <c r="EP40" s="9">
        <f t="shared" si="82"/>
        <v>4500</v>
      </c>
      <c r="EQ40" s="9">
        <f t="shared" si="82"/>
        <v>4500</v>
      </c>
      <c r="ER40" s="9">
        <f t="shared" si="82"/>
        <v>4500</v>
      </c>
      <c r="ES40" s="25">
        <f t="shared" si="42"/>
        <v>63750</v>
      </c>
      <c r="ET40" s="9">
        <f>SUM(ET6:ET39)</f>
        <v>5754</v>
      </c>
      <c r="EU40" s="9">
        <f t="shared" ref="EU40:FE40" si="83">SUM(EU6:EU39)</f>
        <v>5754</v>
      </c>
      <c r="EV40" s="9">
        <f t="shared" si="83"/>
        <v>5754</v>
      </c>
      <c r="EW40" s="9">
        <f t="shared" si="83"/>
        <v>5754</v>
      </c>
      <c r="EX40" s="9">
        <f t="shared" si="83"/>
        <v>5754</v>
      </c>
      <c r="EY40" s="9">
        <f t="shared" si="83"/>
        <v>5754</v>
      </c>
      <c r="EZ40" s="9">
        <f t="shared" si="83"/>
        <v>7098</v>
      </c>
      <c r="FA40" s="9">
        <f t="shared" si="83"/>
        <v>5946</v>
      </c>
      <c r="FB40" s="9">
        <f t="shared" si="83"/>
        <v>5946</v>
      </c>
      <c r="FC40" s="9">
        <f t="shared" si="83"/>
        <v>5946</v>
      </c>
      <c r="FD40" s="9">
        <f t="shared" si="83"/>
        <v>5946</v>
      </c>
      <c r="FE40" s="9">
        <f t="shared" si="83"/>
        <v>5946</v>
      </c>
      <c r="FF40" s="25">
        <f t="shared" si="43"/>
        <v>71352</v>
      </c>
      <c r="FG40" s="25">
        <f t="shared" si="44"/>
        <v>2905012</v>
      </c>
      <c r="FH40" s="9">
        <f>SUM(FH6:FH39)</f>
        <v>161940</v>
      </c>
      <c r="FI40" s="9">
        <f t="shared" ref="FI40:FS40" si="84">SUM(FI6:FI39)</f>
        <v>161940</v>
      </c>
      <c r="FJ40" s="9">
        <f t="shared" si="84"/>
        <v>161940</v>
      </c>
      <c r="FK40" s="9">
        <f t="shared" si="84"/>
        <v>161940</v>
      </c>
      <c r="FL40" s="9">
        <f t="shared" si="84"/>
        <v>161940</v>
      </c>
      <c r="FM40" s="9">
        <f t="shared" si="84"/>
        <v>161940</v>
      </c>
      <c r="FN40" s="9">
        <f t="shared" si="84"/>
        <v>208140</v>
      </c>
      <c r="FO40" s="9">
        <f t="shared" si="84"/>
        <v>168540</v>
      </c>
      <c r="FP40" s="9">
        <f t="shared" si="84"/>
        <v>168540</v>
      </c>
      <c r="FQ40" s="9">
        <f t="shared" si="84"/>
        <v>168540</v>
      </c>
      <c r="FR40" s="9">
        <f t="shared" si="84"/>
        <v>168540</v>
      </c>
      <c r="FS40" s="9">
        <f t="shared" si="84"/>
        <v>168540</v>
      </c>
      <c r="FT40" s="25">
        <f t="shared" si="45"/>
        <v>2022480</v>
      </c>
      <c r="FU40" s="9">
        <f>SUM(FU6:FU39)</f>
        <v>3750</v>
      </c>
      <c r="FV40" s="9">
        <f t="shared" ref="FV40:GF40" si="85">SUM(FV6:FV39)</f>
        <v>3750</v>
      </c>
      <c r="FW40" s="9">
        <f t="shared" si="85"/>
        <v>3750</v>
      </c>
      <c r="FX40" s="9">
        <f t="shared" si="85"/>
        <v>3750</v>
      </c>
      <c r="FY40" s="9">
        <f t="shared" si="85"/>
        <v>3750</v>
      </c>
      <c r="FZ40" s="9">
        <f t="shared" si="85"/>
        <v>3750</v>
      </c>
      <c r="GA40" s="9">
        <f t="shared" si="85"/>
        <v>3750</v>
      </c>
      <c r="GB40" s="9">
        <f t="shared" si="85"/>
        <v>3750</v>
      </c>
      <c r="GC40" s="9">
        <f t="shared" si="85"/>
        <v>3750</v>
      </c>
      <c r="GD40" s="9">
        <f t="shared" si="85"/>
        <v>3750</v>
      </c>
      <c r="GE40" s="9">
        <f t="shared" si="85"/>
        <v>3750</v>
      </c>
      <c r="GF40" s="9">
        <f t="shared" si="85"/>
        <v>3750</v>
      </c>
      <c r="GG40" s="25">
        <f t="shared" si="46"/>
        <v>45000</v>
      </c>
      <c r="GH40" s="9">
        <f>SUM(GH6:GH39)</f>
        <v>3090</v>
      </c>
      <c r="GI40" s="9">
        <f t="shared" ref="GI40:GS40" si="86">SUM(GI6:GI39)</f>
        <v>3090</v>
      </c>
      <c r="GJ40" s="9">
        <f t="shared" si="86"/>
        <v>3000</v>
      </c>
      <c r="GK40" s="9">
        <f t="shared" si="86"/>
        <v>3090</v>
      </c>
      <c r="GL40" s="9">
        <f t="shared" si="86"/>
        <v>3090</v>
      </c>
      <c r="GM40" s="9">
        <f t="shared" si="86"/>
        <v>3090</v>
      </c>
      <c r="GN40" s="9">
        <f t="shared" si="86"/>
        <v>4172</v>
      </c>
      <c r="GO40" s="9">
        <f t="shared" si="86"/>
        <v>3242</v>
      </c>
      <c r="GP40" s="9">
        <f t="shared" si="86"/>
        <v>3242</v>
      </c>
      <c r="GQ40" s="9">
        <f t="shared" si="86"/>
        <v>3242</v>
      </c>
      <c r="GR40" s="9">
        <f t="shared" si="86"/>
        <v>3242</v>
      </c>
      <c r="GS40" s="9">
        <f t="shared" si="86"/>
        <v>3242</v>
      </c>
      <c r="GT40" s="25">
        <f t="shared" si="47"/>
        <v>38832</v>
      </c>
      <c r="GU40" s="25">
        <f t="shared" si="48"/>
        <v>2106312</v>
      </c>
      <c r="GV40" s="9">
        <f>SUM(GV6:GV39)</f>
        <v>129370</v>
      </c>
      <c r="GW40" s="9">
        <f t="shared" ref="GW40:HG40" si="87">SUM(GW6:GW39)</f>
        <v>129370</v>
      </c>
      <c r="GX40" s="9">
        <f t="shared" si="87"/>
        <v>129370</v>
      </c>
      <c r="GY40" s="9">
        <f t="shared" si="87"/>
        <v>129370</v>
      </c>
      <c r="GZ40" s="9">
        <f t="shared" si="87"/>
        <v>129370</v>
      </c>
      <c r="HA40" s="9">
        <f t="shared" si="87"/>
        <v>129370</v>
      </c>
      <c r="HB40" s="9">
        <f t="shared" si="87"/>
        <v>158070</v>
      </c>
      <c r="HC40" s="9">
        <f t="shared" si="87"/>
        <v>133470</v>
      </c>
      <c r="HD40" s="9">
        <f t="shared" si="87"/>
        <v>133470</v>
      </c>
      <c r="HE40" s="9">
        <f t="shared" si="87"/>
        <v>133470</v>
      </c>
      <c r="HF40" s="9">
        <f t="shared" si="87"/>
        <v>133470</v>
      </c>
      <c r="HG40" s="9">
        <f t="shared" si="87"/>
        <v>133470</v>
      </c>
      <c r="HH40" s="25">
        <f t="shared" si="49"/>
        <v>1601640</v>
      </c>
      <c r="HI40" s="9">
        <f>SUM(HI6:HI39)</f>
        <v>3000</v>
      </c>
      <c r="HJ40" s="9">
        <f t="shared" ref="HJ40:HT40" si="88">SUM(HJ6:HJ39)</f>
        <v>3000</v>
      </c>
      <c r="HK40" s="9">
        <f t="shared" si="88"/>
        <v>3000</v>
      </c>
      <c r="HL40" s="9">
        <f t="shared" si="88"/>
        <v>3000</v>
      </c>
      <c r="HM40" s="9">
        <f t="shared" si="88"/>
        <v>3000</v>
      </c>
      <c r="HN40" s="9">
        <f t="shared" si="88"/>
        <v>3000</v>
      </c>
      <c r="HO40" s="9">
        <f t="shared" si="88"/>
        <v>3000</v>
      </c>
      <c r="HP40" s="9">
        <f t="shared" si="88"/>
        <v>3000</v>
      </c>
      <c r="HQ40" s="9">
        <f t="shared" si="88"/>
        <v>3000</v>
      </c>
      <c r="HR40" s="9">
        <f t="shared" si="88"/>
        <v>3000</v>
      </c>
      <c r="HS40" s="9">
        <f t="shared" si="88"/>
        <v>3000</v>
      </c>
      <c r="HT40" s="9">
        <f t="shared" si="88"/>
        <v>3000</v>
      </c>
      <c r="HU40" s="25">
        <f t="shared" si="50"/>
        <v>36000</v>
      </c>
      <c r="HV40" s="9">
        <f>SUM(HV6:HV39)</f>
        <v>3881</v>
      </c>
      <c r="HW40" s="9">
        <f t="shared" ref="HW40:IG40" si="89">SUM(HW6:HW39)</f>
        <v>3881</v>
      </c>
      <c r="HX40" s="9">
        <f t="shared" si="89"/>
        <v>3881</v>
      </c>
      <c r="HY40" s="9">
        <f t="shared" si="89"/>
        <v>3881</v>
      </c>
      <c r="HZ40" s="9">
        <f t="shared" si="89"/>
        <v>3881</v>
      </c>
      <c r="IA40" s="9">
        <f t="shared" si="89"/>
        <v>3881</v>
      </c>
      <c r="IB40" s="9">
        <f t="shared" si="89"/>
        <v>4742</v>
      </c>
      <c r="IC40" s="9">
        <f t="shared" si="89"/>
        <v>4004</v>
      </c>
      <c r="ID40" s="9">
        <f t="shared" si="89"/>
        <v>4004</v>
      </c>
      <c r="IE40" s="9">
        <f t="shared" si="89"/>
        <v>4004</v>
      </c>
      <c r="IF40" s="9">
        <f t="shared" si="89"/>
        <v>4004</v>
      </c>
      <c r="IG40" s="9">
        <f t="shared" si="89"/>
        <v>4004</v>
      </c>
      <c r="IH40" s="25">
        <f t="shared" si="51"/>
        <v>48048</v>
      </c>
      <c r="II40" s="25">
        <f t="shared" si="52"/>
        <v>1685688</v>
      </c>
      <c r="IJ40" s="9">
        <f>SUM(IJ6:IJ39)</f>
        <v>122080</v>
      </c>
      <c r="IK40" s="9">
        <f t="shared" ref="IK40:IU40" si="90">SUM(IK6:IK39)</f>
        <v>122080</v>
      </c>
      <c r="IL40" s="9">
        <f t="shared" si="90"/>
        <v>122080</v>
      </c>
      <c r="IM40" s="9">
        <f t="shared" si="90"/>
        <v>122080</v>
      </c>
      <c r="IN40" s="9">
        <f t="shared" si="90"/>
        <v>122080</v>
      </c>
      <c r="IO40" s="9">
        <f t="shared" si="90"/>
        <v>122080</v>
      </c>
      <c r="IP40" s="9">
        <f t="shared" si="90"/>
        <v>164010</v>
      </c>
      <c r="IQ40" s="9">
        <f t="shared" si="90"/>
        <v>128070</v>
      </c>
      <c r="IR40" s="9">
        <f t="shared" si="90"/>
        <v>128070</v>
      </c>
      <c r="IS40" s="9">
        <f t="shared" si="90"/>
        <v>128070</v>
      </c>
      <c r="IT40" s="9">
        <f t="shared" si="90"/>
        <v>128070</v>
      </c>
      <c r="IU40" s="9">
        <f t="shared" si="90"/>
        <v>128070</v>
      </c>
      <c r="IV40" s="25">
        <f t="shared" si="53"/>
        <v>1536840</v>
      </c>
      <c r="IW40" s="9">
        <f>SUM(IW6:IW39)</f>
        <v>3000</v>
      </c>
      <c r="IX40" s="9">
        <f t="shared" ref="IX40:JH40" si="91">SUM(IX6:IX39)</f>
        <v>3000</v>
      </c>
      <c r="IY40" s="9">
        <f t="shared" si="91"/>
        <v>3000</v>
      </c>
      <c r="IZ40" s="9">
        <f t="shared" si="91"/>
        <v>3000</v>
      </c>
      <c r="JA40" s="9">
        <f t="shared" si="91"/>
        <v>3000</v>
      </c>
      <c r="JB40" s="9">
        <f t="shared" si="91"/>
        <v>3000</v>
      </c>
      <c r="JC40" s="9">
        <f t="shared" si="91"/>
        <v>3000</v>
      </c>
      <c r="JD40" s="9">
        <f t="shared" si="91"/>
        <v>3000</v>
      </c>
      <c r="JE40" s="9">
        <f t="shared" si="91"/>
        <v>3000</v>
      </c>
      <c r="JF40" s="9">
        <f t="shared" si="91"/>
        <v>3000</v>
      </c>
      <c r="JG40" s="9">
        <f t="shared" si="91"/>
        <v>3000</v>
      </c>
      <c r="JH40" s="9">
        <f t="shared" si="91"/>
        <v>3000</v>
      </c>
      <c r="JI40" s="25">
        <f t="shared" si="54"/>
        <v>36000</v>
      </c>
      <c r="JJ40" s="9">
        <f>SUM(JJ6:JJ39)</f>
        <v>2835</v>
      </c>
      <c r="JK40" s="9">
        <f t="shared" ref="JK40:JU40" si="92">SUM(JK6:JK39)</f>
        <v>2835</v>
      </c>
      <c r="JL40" s="9">
        <f t="shared" si="92"/>
        <v>2835</v>
      </c>
      <c r="JM40" s="9">
        <f t="shared" si="92"/>
        <v>3663</v>
      </c>
      <c r="JN40" s="9">
        <f t="shared" si="92"/>
        <v>3663</v>
      </c>
      <c r="JO40" s="9">
        <f t="shared" si="92"/>
        <v>3663</v>
      </c>
      <c r="JP40" s="9">
        <f t="shared" si="92"/>
        <v>4799</v>
      </c>
      <c r="JQ40" s="9">
        <f t="shared" si="92"/>
        <v>3842</v>
      </c>
      <c r="JR40" s="9">
        <f t="shared" si="92"/>
        <v>3842</v>
      </c>
      <c r="JS40" s="9">
        <f t="shared" si="92"/>
        <v>3842</v>
      </c>
      <c r="JT40" s="9">
        <f t="shared" si="92"/>
        <v>3842</v>
      </c>
      <c r="JU40" s="9">
        <f t="shared" si="92"/>
        <v>3842</v>
      </c>
      <c r="JV40" s="25">
        <f t="shared" si="55"/>
        <v>43503</v>
      </c>
      <c r="JW40" s="25">
        <f t="shared" si="56"/>
        <v>1616343</v>
      </c>
      <c r="JX40" s="9">
        <f>SUM(JX6:JX39)</f>
        <v>156750</v>
      </c>
      <c r="JY40" s="9">
        <f t="shared" ref="JY40:KI40" si="93">SUM(JY6:JY39)</f>
        <v>156750</v>
      </c>
      <c r="JZ40" s="9">
        <f t="shared" si="93"/>
        <v>156750</v>
      </c>
      <c r="KA40" s="9">
        <f t="shared" si="93"/>
        <v>156750</v>
      </c>
      <c r="KB40" s="9">
        <f t="shared" si="93"/>
        <v>156750</v>
      </c>
      <c r="KC40" s="9">
        <f t="shared" si="93"/>
        <v>156750</v>
      </c>
      <c r="KD40" s="9">
        <f t="shared" si="93"/>
        <v>198120</v>
      </c>
      <c r="KE40" s="9">
        <f t="shared" si="93"/>
        <v>162660</v>
      </c>
      <c r="KF40" s="9">
        <f t="shared" si="93"/>
        <v>162660</v>
      </c>
      <c r="KG40" s="9">
        <f t="shared" si="93"/>
        <v>162660</v>
      </c>
      <c r="KH40" s="9">
        <f t="shared" si="93"/>
        <v>162660</v>
      </c>
      <c r="KI40" s="9">
        <f t="shared" si="93"/>
        <v>162660</v>
      </c>
      <c r="KJ40" s="25">
        <f t="shared" si="57"/>
        <v>1951920</v>
      </c>
      <c r="KK40" s="9">
        <f>SUM(KK6:KK39)</f>
        <v>3750</v>
      </c>
      <c r="KL40" s="9">
        <f t="shared" ref="KL40:KV40" si="94">SUM(KL6:KL39)</f>
        <v>3750</v>
      </c>
      <c r="KM40" s="9">
        <f t="shared" si="94"/>
        <v>3750</v>
      </c>
      <c r="KN40" s="9">
        <f t="shared" si="94"/>
        <v>3750</v>
      </c>
      <c r="KO40" s="9">
        <f t="shared" si="94"/>
        <v>3750</v>
      </c>
      <c r="KP40" s="9">
        <f t="shared" si="94"/>
        <v>3750</v>
      </c>
      <c r="KQ40" s="9">
        <f t="shared" si="94"/>
        <v>3750</v>
      </c>
      <c r="KR40" s="9">
        <f t="shared" si="94"/>
        <v>3750</v>
      </c>
      <c r="KS40" s="9">
        <f t="shared" si="94"/>
        <v>3750</v>
      </c>
      <c r="KT40" s="9">
        <f t="shared" si="94"/>
        <v>3750</v>
      </c>
      <c r="KU40" s="9">
        <f t="shared" si="94"/>
        <v>3750</v>
      </c>
      <c r="KV40" s="9">
        <f t="shared" si="94"/>
        <v>3750</v>
      </c>
      <c r="KW40" s="25">
        <f t="shared" si="58"/>
        <v>45000</v>
      </c>
      <c r="KX40" s="9">
        <f>SUM(KX6:KX39)</f>
        <v>2970</v>
      </c>
      <c r="KY40" s="9">
        <f t="shared" ref="KY40:LI40" si="95">SUM(KY6:KY39)</f>
        <v>2970</v>
      </c>
      <c r="KZ40" s="9">
        <f t="shared" si="95"/>
        <v>2970</v>
      </c>
      <c r="LA40" s="9">
        <f t="shared" si="95"/>
        <v>2970</v>
      </c>
      <c r="LB40" s="9">
        <f t="shared" si="95"/>
        <v>2970</v>
      </c>
      <c r="LC40" s="9">
        <f t="shared" si="95"/>
        <v>2970</v>
      </c>
      <c r="LD40" s="9">
        <f t="shared" si="95"/>
        <v>4829</v>
      </c>
      <c r="LE40" s="9">
        <f t="shared" si="95"/>
        <v>3935</v>
      </c>
      <c r="LF40" s="9">
        <f t="shared" si="95"/>
        <v>3935</v>
      </c>
      <c r="LG40" s="9">
        <f t="shared" si="95"/>
        <v>3935</v>
      </c>
      <c r="LH40" s="9">
        <f t="shared" si="95"/>
        <v>3935</v>
      </c>
      <c r="LI40" s="9">
        <f t="shared" si="95"/>
        <v>3935</v>
      </c>
      <c r="LJ40" s="25">
        <f t="shared" si="59"/>
        <v>42324</v>
      </c>
      <c r="LK40" s="25">
        <f t="shared" si="60"/>
        <v>2039244</v>
      </c>
      <c r="LL40" s="9">
        <f>SUM(LL6:LL39)</f>
        <v>164790</v>
      </c>
      <c r="LM40" s="9">
        <f t="shared" ref="LM40:LW40" si="96">SUM(LM6:LM39)</f>
        <v>164790</v>
      </c>
      <c r="LN40" s="9">
        <f t="shared" si="96"/>
        <v>164790</v>
      </c>
      <c r="LO40" s="9">
        <f t="shared" si="96"/>
        <v>164790</v>
      </c>
      <c r="LP40" s="9">
        <f t="shared" si="96"/>
        <v>164790</v>
      </c>
      <c r="LQ40" s="9">
        <f t="shared" si="96"/>
        <v>141120</v>
      </c>
      <c r="LR40" s="9">
        <f t="shared" si="96"/>
        <v>190120</v>
      </c>
      <c r="LS40" s="9">
        <f t="shared" si="96"/>
        <v>148120</v>
      </c>
      <c r="LT40" s="9">
        <f t="shared" si="96"/>
        <v>148120</v>
      </c>
      <c r="LU40" s="9">
        <f t="shared" si="96"/>
        <v>148120</v>
      </c>
      <c r="LV40" s="9">
        <f t="shared" si="96"/>
        <v>148120</v>
      </c>
      <c r="LW40" s="9">
        <f t="shared" si="96"/>
        <v>98424.28</v>
      </c>
      <c r="LX40" s="25">
        <f t="shared" si="61"/>
        <v>1846094.28</v>
      </c>
      <c r="LY40" s="9">
        <f>SUM(LY6:LY39)</f>
        <v>5250</v>
      </c>
      <c r="LZ40" s="9">
        <f t="shared" ref="LZ40:MJ40" si="97">SUM(LZ6:LZ39)</f>
        <v>5250</v>
      </c>
      <c r="MA40" s="9">
        <f t="shared" si="97"/>
        <v>5250</v>
      </c>
      <c r="MB40" s="9">
        <f t="shared" si="97"/>
        <v>5250</v>
      </c>
      <c r="MC40" s="9">
        <f t="shared" si="97"/>
        <v>5250</v>
      </c>
      <c r="MD40" s="9">
        <f t="shared" si="97"/>
        <v>4500</v>
      </c>
      <c r="ME40" s="9">
        <f t="shared" si="97"/>
        <v>4500</v>
      </c>
      <c r="MF40" s="9">
        <f t="shared" si="97"/>
        <v>4500</v>
      </c>
      <c r="MG40" s="9">
        <f t="shared" si="97"/>
        <v>4500</v>
      </c>
      <c r="MH40" s="9">
        <f t="shared" si="97"/>
        <v>4500</v>
      </c>
      <c r="MI40" s="9">
        <f t="shared" si="97"/>
        <v>4500</v>
      </c>
      <c r="MJ40" s="9">
        <f t="shared" si="97"/>
        <v>3000</v>
      </c>
      <c r="MK40" s="25">
        <f t="shared" si="62"/>
        <v>56250</v>
      </c>
      <c r="ML40" s="9">
        <f>SUM(ML6:ML39)</f>
        <v>2767</v>
      </c>
      <c r="MM40" s="9">
        <f t="shared" ref="MM40:MW40" si="98">SUM(MM6:MM39)</f>
        <v>2767</v>
      </c>
      <c r="MN40" s="9">
        <f t="shared" si="98"/>
        <v>2767</v>
      </c>
      <c r="MO40" s="9">
        <f t="shared" si="98"/>
        <v>2046</v>
      </c>
      <c r="MP40" s="9">
        <f t="shared" si="98"/>
        <v>2046</v>
      </c>
      <c r="MQ40" s="9">
        <f t="shared" si="98"/>
        <v>2046</v>
      </c>
      <c r="MR40" s="9">
        <f t="shared" si="98"/>
        <v>2760</v>
      </c>
      <c r="MS40" s="9">
        <f t="shared" si="98"/>
        <v>2148</v>
      </c>
      <c r="MT40" s="9">
        <f t="shared" si="98"/>
        <v>2148</v>
      </c>
      <c r="MU40" s="9">
        <f t="shared" si="98"/>
        <v>2148</v>
      </c>
      <c r="MV40" s="9">
        <f t="shared" si="98"/>
        <v>2148</v>
      </c>
      <c r="MW40" s="9">
        <f t="shared" si="98"/>
        <v>2148</v>
      </c>
      <c r="MX40" s="25">
        <f t="shared" si="63"/>
        <v>27939</v>
      </c>
      <c r="MY40" s="25">
        <f t="shared" si="64"/>
        <v>1930283.28</v>
      </c>
      <c r="MZ40" s="9">
        <f>SUM(MZ6:MZ39)</f>
        <v>5600</v>
      </c>
      <c r="NA40" s="9">
        <f t="shared" ref="NA40:NK40" si="99">SUM(NA6:NA39)</f>
        <v>5600</v>
      </c>
      <c r="NB40" s="9">
        <f t="shared" si="99"/>
        <v>5600</v>
      </c>
      <c r="NC40" s="9">
        <f t="shared" si="99"/>
        <v>5600</v>
      </c>
      <c r="ND40" s="9">
        <f t="shared" si="99"/>
        <v>5600</v>
      </c>
      <c r="NE40" s="9">
        <f t="shared" si="99"/>
        <v>5600</v>
      </c>
      <c r="NF40" s="9">
        <f t="shared" si="99"/>
        <v>5600</v>
      </c>
      <c r="NG40" s="9">
        <f t="shared" si="99"/>
        <v>5600</v>
      </c>
      <c r="NH40" s="9">
        <f t="shared" si="99"/>
        <v>5600</v>
      </c>
      <c r="NI40" s="9">
        <f t="shared" si="99"/>
        <v>5600</v>
      </c>
      <c r="NJ40" s="9">
        <f t="shared" si="99"/>
        <v>5600</v>
      </c>
      <c r="NK40" s="9">
        <f t="shared" si="99"/>
        <v>5600</v>
      </c>
      <c r="NL40" s="25">
        <f t="shared" si="67"/>
        <v>67200</v>
      </c>
      <c r="NM40" s="9">
        <f>SUM(NM6:NM39)</f>
        <v>5600</v>
      </c>
      <c r="NN40" s="9">
        <f t="shared" ref="NN40:NX40" si="100">SUM(NN6:NN39)</f>
        <v>5600</v>
      </c>
      <c r="NO40" s="9">
        <f t="shared" si="100"/>
        <v>5600</v>
      </c>
      <c r="NP40" s="9">
        <f t="shared" si="100"/>
        <v>5600</v>
      </c>
      <c r="NQ40" s="9">
        <f t="shared" si="100"/>
        <v>5600</v>
      </c>
      <c r="NR40" s="9">
        <f t="shared" si="100"/>
        <v>5600</v>
      </c>
      <c r="NS40" s="9">
        <f t="shared" si="100"/>
        <v>5600</v>
      </c>
      <c r="NT40" s="9">
        <f t="shared" si="100"/>
        <v>5600</v>
      </c>
      <c r="NU40" s="9">
        <f t="shared" si="100"/>
        <v>5600</v>
      </c>
      <c r="NV40" s="9">
        <f t="shared" si="100"/>
        <v>5600</v>
      </c>
      <c r="NW40" s="9">
        <f t="shared" si="100"/>
        <v>128980.65</v>
      </c>
      <c r="NX40" s="9">
        <f t="shared" si="100"/>
        <v>11200</v>
      </c>
      <c r="NY40" s="25">
        <f t="shared" si="70"/>
        <v>196180.65</v>
      </c>
      <c r="NZ40" s="9">
        <f>SUM(NZ6:NZ39)</f>
        <v>11200</v>
      </c>
      <c r="OA40" s="9">
        <f t="shared" ref="OA40:OK40" si="101">SUM(OA6:OA39)</f>
        <v>11200</v>
      </c>
      <c r="OB40" s="9">
        <f t="shared" si="101"/>
        <v>11200</v>
      </c>
      <c r="OC40" s="9">
        <f t="shared" si="101"/>
        <v>11200</v>
      </c>
      <c r="OD40" s="9">
        <f t="shared" si="101"/>
        <v>11200</v>
      </c>
      <c r="OE40" s="9">
        <f t="shared" si="101"/>
        <v>11200</v>
      </c>
      <c r="OF40" s="9">
        <f t="shared" si="101"/>
        <v>11200</v>
      </c>
      <c r="OG40" s="9">
        <f t="shared" si="101"/>
        <v>11200</v>
      </c>
      <c r="OH40" s="9">
        <f t="shared" si="101"/>
        <v>11200</v>
      </c>
      <c r="OI40" s="9">
        <f t="shared" si="101"/>
        <v>11200</v>
      </c>
      <c r="OJ40" s="9">
        <f t="shared" si="101"/>
        <v>11200</v>
      </c>
      <c r="OK40" s="9">
        <f t="shared" si="101"/>
        <v>11200</v>
      </c>
      <c r="OL40" s="25">
        <f t="shared" si="71"/>
        <v>134400</v>
      </c>
      <c r="OM40" s="25">
        <f t="shared" si="71"/>
        <v>257600</v>
      </c>
      <c r="ON40" s="26">
        <f>+AQ40+CE40+DS40+FG40+GU40+II40+JW40+LK40+MY40+OM40</f>
        <v>17769302.280000001</v>
      </c>
    </row>
    <row r="41" spans="1:404" ht="21.75" thickTop="1" x14ac:dyDescent="0.35"/>
    <row r="42" spans="1:404" hidden="1" x14ac:dyDescent="0.35">
      <c r="A42" s="1" t="s">
        <v>301</v>
      </c>
    </row>
    <row r="43" spans="1:404" hidden="1" x14ac:dyDescent="0.35">
      <c r="A43" s="71" t="s">
        <v>297</v>
      </c>
      <c r="J43" s="1">
        <v>41880</v>
      </c>
      <c r="AJ43" s="1">
        <v>786</v>
      </c>
      <c r="AX43" s="1">
        <v>42480</v>
      </c>
      <c r="BX43" s="1">
        <v>1278</v>
      </c>
      <c r="CL43" s="1">
        <v>21420</v>
      </c>
      <c r="DL43" s="1">
        <v>546</v>
      </c>
      <c r="DZ43" s="1">
        <v>47280</v>
      </c>
      <c r="EZ43" s="1">
        <v>1152</v>
      </c>
      <c r="FN43" s="1">
        <v>39600</v>
      </c>
      <c r="GN43" s="1">
        <v>930</v>
      </c>
      <c r="HB43" s="1">
        <v>24600</v>
      </c>
      <c r="IB43" s="1">
        <v>738</v>
      </c>
      <c r="IP43" s="1">
        <v>35940</v>
      </c>
      <c r="JP43" s="1">
        <v>957</v>
      </c>
      <c r="KD43" s="1">
        <v>35460</v>
      </c>
      <c r="LD43" s="1">
        <v>894</v>
      </c>
      <c r="LR43" s="1">
        <v>42000</v>
      </c>
      <c r="LW43" s="1">
        <v>1184.28</v>
      </c>
      <c r="MR43" s="1">
        <v>612</v>
      </c>
      <c r="NW43" s="1">
        <v>123380.65</v>
      </c>
    </row>
    <row r="44" spans="1:404" hidden="1" x14ac:dyDescent="0.35">
      <c r="A44" s="1" t="s">
        <v>302</v>
      </c>
    </row>
    <row r="45" spans="1:404" hidden="1" x14ac:dyDescent="0.35">
      <c r="A45" s="1" t="s">
        <v>298</v>
      </c>
    </row>
    <row r="46" spans="1:404" hidden="1" x14ac:dyDescent="0.35">
      <c r="A46" s="53" t="s">
        <v>115</v>
      </c>
    </row>
    <row r="47" spans="1:404" hidden="1" x14ac:dyDescent="0.35"/>
  </sheetData>
  <mergeCells count="56">
    <mergeCell ref="NM3:NY3"/>
    <mergeCell ref="NM4:NY4"/>
    <mergeCell ref="NZ3:OL3"/>
    <mergeCell ref="NZ4:OL4"/>
    <mergeCell ref="IJ4:IV4"/>
    <mergeCell ref="IW4:JI4"/>
    <mergeCell ref="LL4:LX4"/>
    <mergeCell ref="LY4:MK4"/>
    <mergeCell ref="ML4:MX4"/>
    <mergeCell ref="JX4:KJ4"/>
    <mergeCell ref="KK4:KW4"/>
    <mergeCell ref="KX4:LJ4"/>
    <mergeCell ref="LK4:LK5"/>
    <mergeCell ref="LL3:MY3"/>
    <mergeCell ref="MZ3:NL3"/>
    <mergeCell ref="MZ4:NL4"/>
    <mergeCell ref="ON3:ON4"/>
    <mergeCell ref="D4:P4"/>
    <mergeCell ref="Q4:AC4"/>
    <mergeCell ref="AD4:AP4"/>
    <mergeCell ref="AR4:BD4"/>
    <mergeCell ref="BE4:BQ4"/>
    <mergeCell ref="BR4:CD4"/>
    <mergeCell ref="CF4:CR4"/>
    <mergeCell ref="CS4:DE4"/>
    <mergeCell ref="DT3:FG3"/>
    <mergeCell ref="FH3:GU3"/>
    <mergeCell ref="GV3:II3"/>
    <mergeCell ref="IJ3:JW3"/>
    <mergeCell ref="JX3:LK3"/>
    <mergeCell ref="CF3:DS3"/>
    <mergeCell ref="HI4:HU4"/>
    <mergeCell ref="DF4:DR4"/>
    <mergeCell ref="A1:F1"/>
    <mergeCell ref="A3:A4"/>
    <mergeCell ref="B3:B4"/>
    <mergeCell ref="D3:AQ3"/>
    <mergeCell ref="AR3:CE3"/>
    <mergeCell ref="AQ4:AQ5"/>
    <mergeCell ref="CE4:CE5"/>
    <mergeCell ref="OM4:OM5"/>
    <mergeCell ref="MY4:MY5"/>
    <mergeCell ref="DS4:DS5"/>
    <mergeCell ref="FG4:FG5"/>
    <mergeCell ref="GU4:GU5"/>
    <mergeCell ref="II4:II5"/>
    <mergeCell ref="JW4:JW5"/>
    <mergeCell ref="JJ4:JV4"/>
    <mergeCell ref="DT4:EF4"/>
    <mergeCell ref="EG4:ES4"/>
    <mergeCell ref="ET4:FF4"/>
    <mergeCell ref="FH4:FT4"/>
    <mergeCell ref="FU4:GG4"/>
    <mergeCell ref="GH4:GT4"/>
    <mergeCell ref="GV4:HH4"/>
    <mergeCell ref="HV4:IH4"/>
  </mergeCells>
  <pageMargins left="0.7" right="0.7" top="0.75" bottom="0.75" header="0.3" footer="0.3"/>
  <pageSetup paperSize="9" scale="65" orientation="landscape" horizontalDpi="4294967295" verticalDpi="4294967295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M49"/>
  <sheetViews>
    <sheetView showGridLines="0" zoomScale="70" zoomScaleNormal="70" workbookViewId="0">
      <pane xSplit="3" ySplit="6" topLeftCell="MX37" activePane="bottomRight" state="frozen"/>
      <selection pane="topRight" activeCell="D1" sqref="D1"/>
      <selection pane="bottomLeft" activeCell="A7" sqref="A7"/>
      <selection pane="bottomRight" activeCell="A42" sqref="A42:XFD49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1.125" style="1" hidden="1" customWidth="1"/>
    <col min="29" max="29" width="11.25" style="1" bestFit="1" customWidth="1"/>
    <col min="30" max="30" width="7.375" style="1" hidden="1" customWidth="1"/>
    <col min="31" max="32" width="9.25" style="1" hidden="1" customWidth="1"/>
    <col min="33" max="41" width="11.125" style="1" hidden="1" customWidth="1"/>
    <col min="42" max="42" width="11.25" style="1" bestFit="1" customWidth="1"/>
    <col min="43" max="43" width="14.125" style="1" bestFit="1" customWidth="1"/>
    <col min="44" max="55" width="13.875" style="1" hidden="1" customWidth="1"/>
    <col min="56" max="56" width="14.125" style="1" hidden="1" customWidth="1"/>
    <col min="57" max="68" width="11.125" style="1" hidden="1" customWidth="1"/>
    <col min="69" max="69" width="11.25" style="1" hidden="1" customWidth="1"/>
    <col min="70" max="81" width="11.125" style="1" hidden="1" customWidth="1"/>
    <col min="82" max="82" width="11.25" style="1" hidden="1" customWidth="1"/>
    <col min="83" max="83" width="14.125" style="1" hidden="1" customWidth="1"/>
    <col min="84" max="96" width="12.375" style="1" hidden="1" customWidth="1"/>
    <col min="97" max="108" width="11.125" style="1" hidden="1" customWidth="1"/>
    <col min="109" max="109" width="11.25" style="1" hidden="1" customWidth="1"/>
    <col min="110" max="121" width="11.125" style="1" hidden="1" customWidth="1"/>
    <col min="122" max="122" width="11.25" style="1" hidden="1" customWidth="1"/>
    <col min="123" max="123" width="12.375" style="1" hidden="1" customWidth="1"/>
    <col min="124" max="135" width="13.875" style="1" hidden="1" customWidth="1"/>
    <col min="136" max="136" width="14.125" style="1" hidden="1" customWidth="1"/>
    <col min="137" max="148" width="11.125" style="1" hidden="1" customWidth="1"/>
    <col min="149" max="149" width="11.25" style="1" hidden="1" customWidth="1"/>
    <col min="150" max="161" width="11.125" style="1" hidden="1" customWidth="1"/>
    <col min="162" max="162" width="11.25" style="1" hidden="1" customWidth="1"/>
    <col min="163" max="163" width="14.125" style="1" hidden="1" customWidth="1"/>
    <col min="164" max="175" width="13.875" style="1" hidden="1" customWidth="1"/>
    <col min="176" max="176" width="14.125" style="1" hidden="1" customWidth="1"/>
    <col min="177" max="188" width="11.125" style="1" hidden="1" customWidth="1"/>
    <col min="189" max="189" width="11.25" style="1" hidden="1" customWidth="1"/>
    <col min="190" max="201" width="11.125" style="1" hidden="1" customWidth="1"/>
    <col min="202" max="202" width="11.25" style="1" hidden="1" customWidth="1"/>
    <col min="203" max="203" width="14.125" style="1" hidden="1" customWidth="1"/>
    <col min="204" max="215" width="13.875" style="1" hidden="1" customWidth="1"/>
    <col min="216" max="216" width="14.125" style="1" hidden="1" customWidth="1"/>
    <col min="217" max="228" width="11.125" style="1" hidden="1" customWidth="1"/>
    <col min="229" max="229" width="11.25" style="1" hidden="1" customWidth="1"/>
    <col min="230" max="241" width="11.125" style="1" hidden="1" customWidth="1"/>
    <col min="242" max="242" width="11.25" style="1" hidden="1" customWidth="1"/>
    <col min="243" max="243" width="14.125" style="1" hidden="1" customWidth="1"/>
    <col min="244" max="255" width="13.875" style="1" hidden="1" customWidth="1"/>
    <col min="256" max="256" width="14.125" style="1" hidden="1" customWidth="1"/>
    <col min="257" max="268" width="11.125" style="1" hidden="1" customWidth="1"/>
    <col min="269" max="269" width="11.25" style="1" hidden="1" customWidth="1"/>
    <col min="270" max="281" width="11.125" style="1" hidden="1" customWidth="1"/>
    <col min="282" max="282" width="11.25" style="1" hidden="1" customWidth="1"/>
    <col min="283" max="283" width="14.125" style="1" hidden="1" customWidth="1"/>
    <col min="284" max="284" width="13.875" style="1" hidden="1" customWidth="1"/>
    <col min="285" max="289" width="12.375" style="1" hidden="1" customWidth="1"/>
    <col min="290" max="290" width="13.875" style="1" hidden="1" customWidth="1"/>
    <col min="291" max="291" width="12.375" style="1" hidden="1" customWidth="1"/>
    <col min="292" max="295" width="13.875" style="1" hidden="1" customWidth="1"/>
    <col min="296" max="296" width="14.125" style="1" hidden="1" customWidth="1"/>
    <col min="297" max="308" width="11.125" style="1" hidden="1" customWidth="1"/>
    <col min="309" max="309" width="11.25" style="1" hidden="1" customWidth="1"/>
    <col min="310" max="321" width="11.125" style="1" hidden="1" customWidth="1"/>
    <col min="322" max="322" width="11.25" style="1" hidden="1" customWidth="1"/>
    <col min="323" max="323" width="14.125" style="1" hidden="1" customWidth="1"/>
    <col min="324" max="335" width="13.875" style="1" hidden="1" customWidth="1"/>
    <col min="336" max="336" width="14.125" style="1" bestFit="1" customWidth="1"/>
    <col min="337" max="348" width="11.125" style="1" hidden="1" customWidth="1"/>
    <col min="349" max="349" width="11.25" style="1" bestFit="1" customWidth="1"/>
    <col min="350" max="361" width="11.125" style="1" hidden="1" customWidth="1"/>
    <col min="362" max="362" width="11.25" style="1" bestFit="1" customWidth="1"/>
    <col min="363" max="363" width="14.125" style="1" bestFit="1" customWidth="1"/>
    <col min="364" max="369" width="12.375" style="1" hidden="1" customWidth="1"/>
    <col min="370" max="370" width="11.125" style="1" hidden="1" customWidth="1"/>
    <col min="371" max="374" width="12.375" style="1" hidden="1" customWidth="1"/>
    <col min="375" max="375" width="13.875" style="1" hidden="1" customWidth="1"/>
    <col min="376" max="376" width="12.375" style="1" bestFit="1" customWidth="1"/>
    <col min="377" max="377" width="15.25" style="1" bestFit="1" customWidth="1"/>
    <col min="378" max="16384" width="9" style="1"/>
  </cols>
  <sheetData>
    <row r="1" spans="1:377" x14ac:dyDescent="0.35">
      <c r="A1" s="97" t="s">
        <v>281</v>
      </c>
      <c r="B1" s="98"/>
      <c r="C1" s="98"/>
      <c r="D1" s="98"/>
      <c r="E1" s="98"/>
      <c r="F1" s="98"/>
    </row>
    <row r="2" spans="1:377" s="12" customFormat="1" x14ac:dyDescent="0.35">
      <c r="A2" s="65"/>
      <c r="B2" s="65"/>
      <c r="C2" s="65"/>
      <c r="D2" s="65"/>
      <c r="E2" s="65"/>
      <c r="F2" s="65"/>
    </row>
    <row r="3" spans="1:377" s="2" customFormat="1" x14ac:dyDescent="0.35">
      <c r="A3" s="92" t="s">
        <v>0</v>
      </c>
      <c r="B3" s="92" t="s">
        <v>14</v>
      </c>
      <c r="C3" s="63"/>
      <c r="D3" s="89" t="s">
        <v>284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99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1"/>
      <c r="CF3" s="99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1"/>
      <c r="DT3" s="99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1"/>
      <c r="FH3" s="99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1"/>
      <c r="GV3" s="99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1"/>
      <c r="IJ3" s="99"/>
      <c r="IK3" s="100"/>
      <c r="IL3" s="100"/>
      <c r="IM3" s="100"/>
      <c r="IN3" s="100"/>
      <c r="IO3" s="100"/>
      <c r="IP3" s="100"/>
      <c r="IQ3" s="100"/>
      <c r="IR3" s="100"/>
      <c r="IS3" s="100"/>
      <c r="IT3" s="100"/>
      <c r="IU3" s="100"/>
      <c r="IV3" s="100"/>
      <c r="IW3" s="100"/>
      <c r="IX3" s="100"/>
      <c r="IY3" s="100"/>
      <c r="IZ3" s="100"/>
      <c r="JA3" s="100"/>
      <c r="JB3" s="100"/>
      <c r="JC3" s="100"/>
      <c r="JD3" s="100"/>
      <c r="JE3" s="100"/>
      <c r="JF3" s="100"/>
      <c r="JG3" s="100"/>
      <c r="JH3" s="100"/>
      <c r="JI3" s="100"/>
      <c r="JJ3" s="100"/>
      <c r="JK3" s="100"/>
      <c r="JL3" s="100"/>
      <c r="JM3" s="100"/>
      <c r="JN3" s="100"/>
      <c r="JO3" s="100"/>
      <c r="JP3" s="100"/>
      <c r="JQ3" s="100"/>
      <c r="JR3" s="100"/>
      <c r="JS3" s="100"/>
      <c r="JT3" s="100"/>
      <c r="JU3" s="100"/>
      <c r="JV3" s="100"/>
      <c r="JW3" s="101"/>
      <c r="JX3" s="99"/>
      <c r="JY3" s="100"/>
      <c r="JZ3" s="100"/>
      <c r="KA3" s="100"/>
      <c r="KB3" s="100"/>
      <c r="KC3" s="100"/>
      <c r="KD3" s="100"/>
      <c r="KE3" s="100"/>
      <c r="KF3" s="100"/>
      <c r="KG3" s="100"/>
      <c r="KH3" s="100"/>
      <c r="KI3" s="100"/>
      <c r="KJ3" s="100"/>
      <c r="KK3" s="100"/>
      <c r="KL3" s="100"/>
      <c r="KM3" s="100"/>
      <c r="KN3" s="100"/>
      <c r="KO3" s="100"/>
      <c r="KP3" s="100"/>
      <c r="KQ3" s="100"/>
      <c r="KR3" s="100"/>
      <c r="KS3" s="100"/>
      <c r="KT3" s="100"/>
      <c r="KU3" s="100"/>
      <c r="KV3" s="100"/>
      <c r="KW3" s="100"/>
      <c r="KX3" s="100"/>
      <c r="KY3" s="100"/>
      <c r="KZ3" s="100"/>
      <c r="LA3" s="100"/>
      <c r="LB3" s="100"/>
      <c r="LC3" s="100"/>
      <c r="LD3" s="100"/>
      <c r="LE3" s="100"/>
      <c r="LF3" s="100"/>
      <c r="LG3" s="100"/>
      <c r="LH3" s="100"/>
      <c r="LI3" s="100"/>
      <c r="LJ3" s="100"/>
      <c r="LK3" s="101"/>
      <c r="LL3" s="89" t="s">
        <v>56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1"/>
      <c r="NM3" s="92" t="s">
        <v>16</v>
      </c>
    </row>
    <row r="4" spans="1:377" s="2" customFormat="1" x14ac:dyDescent="0.35">
      <c r="A4" s="93"/>
      <c r="B4" s="93"/>
      <c r="C4" s="64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4" t="s">
        <v>5</v>
      </c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6"/>
      <c r="BE4" s="89" t="s">
        <v>6</v>
      </c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1"/>
      <c r="BR4" s="89" t="s">
        <v>7</v>
      </c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1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89" t="s">
        <v>87</v>
      </c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1"/>
      <c r="NM4" s="93"/>
    </row>
    <row r="5" spans="1:377" s="2" customFormat="1" x14ac:dyDescent="0.35">
      <c r="A5" s="64"/>
      <c r="B5" s="64"/>
      <c r="C5" s="64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">
        <v>88</v>
      </c>
      <c r="AS5" s="16" t="s">
        <v>89</v>
      </c>
      <c r="AT5" s="16" t="s">
        <v>90</v>
      </c>
      <c r="AU5" s="16" t="s">
        <v>91</v>
      </c>
      <c r="AV5" s="16" t="s">
        <v>92</v>
      </c>
      <c r="AW5" s="16" t="s">
        <v>93</v>
      </c>
      <c r="AX5" s="16" t="s">
        <v>94</v>
      </c>
      <c r="AY5" s="16" t="s">
        <v>95</v>
      </c>
      <c r="AZ5" s="16" t="s">
        <v>96</v>
      </c>
      <c r="BA5" s="16" t="s">
        <v>97</v>
      </c>
      <c r="BB5" s="16" t="s">
        <v>98</v>
      </c>
      <c r="BC5" s="16" t="s">
        <v>99</v>
      </c>
      <c r="BD5" s="17" t="s">
        <v>16</v>
      </c>
      <c r="BE5" s="16" t="s">
        <v>88</v>
      </c>
      <c r="BF5" s="16" t="s">
        <v>89</v>
      </c>
      <c r="BG5" s="16" t="s">
        <v>90</v>
      </c>
      <c r="BH5" s="16" t="s">
        <v>91</v>
      </c>
      <c r="BI5" s="16" t="s">
        <v>92</v>
      </c>
      <c r="BJ5" s="16" t="s">
        <v>93</v>
      </c>
      <c r="BK5" s="16" t="s">
        <v>94</v>
      </c>
      <c r="BL5" s="16" t="s">
        <v>95</v>
      </c>
      <c r="BM5" s="16" t="s">
        <v>96</v>
      </c>
      <c r="BN5" s="16" t="s">
        <v>97</v>
      </c>
      <c r="BO5" s="16" t="s">
        <v>98</v>
      </c>
      <c r="BP5" s="16" t="s">
        <v>99</v>
      </c>
      <c r="BQ5" s="17" t="s">
        <v>16</v>
      </c>
      <c r="BR5" s="16" t="s">
        <v>88</v>
      </c>
      <c r="BS5" s="16" t="s">
        <v>89</v>
      </c>
      <c r="BT5" s="16" t="s">
        <v>90</v>
      </c>
      <c r="BU5" s="16" t="s">
        <v>91</v>
      </c>
      <c r="BV5" s="16" t="s">
        <v>92</v>
      </c>
      <c r="BW5" s="16" t="s">
        <v>93</v>
      </c>
      <c r="BX5" s="16" t="s">
        <v>94</v>
      </c>
      <c r="BY5" s="16" t="s">
        <v>95</v>
      </c>
      <c r="BZ5" s="16" t="s">
        <v>96</v>
      </c>
      <c r="CA5" s="16" t="s">
        <v>97</v>
      </c>
      <c r="CB5" s="16" t="s">
        <v>98</v>
      </c>
      <c r="CC5" s="16" t="s">
        <v>99</v>
      </c>
      <c r="CD5" s="17" t="s">
        <v>16</v>
      </c>
      <c r="CE5" s="88"/>
      <c r="CF5" s="16" t="s">
        <v>88</v>
      </c>
      <c r="CG5" s="16" t="s">
        <v>89</v>
      </c>
      <c r="CH5" s="16" t="s">
        <v>90</v>
      </c>
      <c r="CI5" s="16" t="s">
        <v>91</v>
      </c>
      <c r="CJ5" s="16" t="s">
        <v>92</v>
      </c>
      <c r="CK5" s="16" t="s">
        <v>93</v>
      </c>
      <c r="CL5" s="16" t="s">
        <v>94</v>
      </c>
      <c r="CM5" s="16" t="s">
        <v>95</v>
      </c>
      <c r="CN5" s="16" t="s">
        <v>96</v>
      </c>
      <c r="CO5" s="16" t="s">
        <v>97</v>
      </c>
      <c r="CP5" s="16" t="s">
        <v>98</v>
      </c>
      <c r="CQ5" s="16" t="s">
        <v>99</v>
      </c>
      <c r="CR5" s="17" t="s">
        <v>16</v>
      </c>
      <c r="CS5" s="16" t="s">
        <v>88</v>
      </c>
      <c r="CT5" s="16" t="s">
        <v>89</v>
      </c>
      <c r="CU5" s="16" t="s">
        <v>90</v>
      </c>
      <c r="CV5" s="16" t="s">
        <v>91</v>
      </c>
      <c r="CW5" s="16" t="s">
        <v>92</v>
      </c>
      <c r="CX5" s="16" t="s">
        <v>93</v>
      </c>
      <c r="CY5" s="16" t="s">
        <v>94</v>
      </c>
      <c r="CZ5" s="16" t="s">
        <v>95</v>
      </c>
      <c r="DA5" s="16" t="s">
        <v>96</v>
      </c>
      <c r="DB5" s="16" t="s">
        <v>97</v>
      </c>
      <c r="DC5" s="16" t="s">
        <v>98</v>
      </c>
      <c r="DD5" s="16" t="s">
        <v>99</v>
      </c>
      <c r="DE5" s="17" t="s">
        <v>16</v>
      </c>
      <c r="DF5" s="16" t="s">
        <v>88</v>
      </c>
      <c r="DG5" s="16" t="s">
        <v>89</v>
      </c>
      <c r="DH5" s="16" t="s">
        <v>90</v>
      </c>
      <c r="DI5" s="16" t="s">
        <v>91</v>
      </c>
      <c r="DJ5" s="16" t="s">
        <v>92</v>
      </c>
      <c r="DK5" s="16" t="s">
        <v>93</v>
      </c>
      <c r="DL5" s="16" t="s">
        <v>94</v>
      </c>
      <c r="DM5" s="16" t="s">
        <v>95</v>
      </c>
      <c r="DN5" s="16" t="s">
        <v>96</v>
      </c>
      <c r="DO5" s="16" t="s">
        <v>97</v>
      </c>
      <c r="DP5" s="16" t="s">
        <v>98</v>
      </c>
      <c r="DQ5" s="16" t="s">
        <v>99</v>
      </c>
      <c r="DR5" s="17" t="s">
        <v>16</v>
      </c>
      <c r="DS5" s="88"/>
      <c r="DT5" s="16" t="s">
        <v>88</v>
      </c>
      <c r="DU5" s="16" t="s">
        <v>89</v>
      </c>
      <c r="DV5" s="16" t="s">
        <v>90</v>
      </c>
      <c r="DW5" s="16" t="s">
        <v>91</v>
      </c>
      <c r="DX5" s="16" t="s">
        <v>92</v>
      </c>
      <c r="DY5" s="16" t="s">
        <v>93</v>
      </c>
      <c r="DZ5" s="16" t="s">
        <v>94</v>
      </c>
      <c r="EA5" s="16" t="s">
        <v>95</v>
      </c>
      <c r="EB5" s="16" t="s">
        <v>96</v>
      </c>
      <c r="EC5" s="16" t="s">
        <v>97</v>
      </c>
      <c r="ED5" s="16" t="s">
        <v>98</v>
      </c>
      <c r="EE5" s="16" t="s">
        <v>99</v>
      </c>
      <c r="EF5" s="17" t="s">
        <v>16</v>
      </c>
      <c r="EG5" s="16" t="s">
        <v>88</v>
      </c>
      <c r="EH5" s="16" t="s">
        <v>89</v>
      </c>
      <c r="EI5" s="16" t="s">
        <v>90</v>
      </c>
      <c r="EJ5" s="16" t="s">
        <v>91</v>
      </c>
      <c r="EK5" s="16" t="s">
        <v>92</v>
      </c>
      <c r="EL5" s="16" t="s">
        <v>93</v>
      </c>
      <c r="EM5" s="16" t="s">
        <v>94</v>
      </c>
      <c r="EN5" s="16" t="s">
        <v>95</v>
      </c>
      <c r="EO5" s="16" t="s">
        <v>96</v>
      </c>
      <c r="EP5" s="16" t="s">
        <v>97</v>
      </c>
      <c r="EQ5" s="16" t="s">
        <v>98</v>
      </c>
      <c r="ER5" s="16" t="s">
        <v>99</v>
      </c>
      <c r="ES5" s="17" t="s">
        <v>16</v>
      </c>
      <c r="ET5" s="16" t="s">
        <v>88</v>
      </c>
      <c r="EU5" s="16" t="s">
        <v>89</v>
      </c>
      <c r="EV5" s="16" t="s">
        <v>90</v>
      </c>
      <c r="EW5" s="16" t="s">
        <v>91</v>
      </c>
      <c r="EX5" s="16" t="s">
        <v>92</v>
      </c>
      <c r="EY5" s="16" t="s">
        <v>93</v>
      </c>
      <c r="EZ5" s="16" t="s">
        <v>94</v>
      </c>
      <c r="FA5" s="16" t="s">
        <v>95</v>
      </c>
      <c r="FB5" s="16" t="s">
        <v>96</v>
      </c>
      <c r="FC5" s="16" t="s">
        <v>97</v>
      </c>
      <c r="FD5" s="16" t="s">
        <v>98</v>
      </c>
      <c r="FE5" s="16" t="s">
        <v>99</v>
      </c>
      <c r="FF5" s="17" t="s">
        <v>16</v>
      </c>
      <c r="FG5" s="88"/>
      <c r="FH5" s="16" t="s">
        <v>88</v>
      </c>
      <c r="FI5" s="16" t="s">
        <v>89</v>
      </c>
      <c r="FJ5" s="16" t="s">
        <v>90</v>
      </c>
      <c r="FK5" s="16" t="s">
        <v>91</v>
      </c>
      <c r="FL5" s="16" t="s">
        <v>92</v>
      </c>
      <c r="FM5" s="16" t="s">
        <v>93</v>
      </c>
      <c r="FN5" s="16" t="s">
        <v>94</v>
      </c>
      <c r="FO5" s="16" t="s">
        <v>95</v>
      </c>
      <c r="FP5" s="16" t="s">
        <v>96</v>
      </c>
      <c r="FQ5" s="16" t="s">
        <v>97</v>
      </c>
      <c r="FR5" s="16" t="s">
        <v>98</v>
      </c>
      <c r="FS5" s="16" t="s">
        <v>99</v>
      </c>
      <c r="FT5" s="17" t="s">
        <v>16</v>
      </c>
      <c r="FU5" s="16" t="s">
        <v>88</v>
      </c>
      <c r="FV5" s="16" t="s">
        <v>89</v>
      </c>
      <c r="FW5" s="16" t="s">
        <v>90</v>
      </c>
      <c r="FX5" s="16" t="s">
        <v>91</v>
      </c>
      <c r="FY5" s="16" t="s">
        <v>92</v>
      </c>
      <c r="FZ5" s="16" t="s">
        <v>93</v>
      </c>
      <c r="GA5" s="16" t="s">
        <v>94</v>
      </c>
      <c r="GB5" s="16" t="s">
        <v>95</v>
      </c>
      <c r="GC5" s="16" t="s">
        <v>96</v>
      </c>
      <c r="GD5" s="16" t="s">
        <v>97</v>
      </c>
      <c r="GE5" s="16" t="s">
        <v>98</v>
      </c>
      <c r="GF5" s="16" t="s">
        <v>99</v>
      </c>
      <c r="GG5" s="17" t="s">
        <v>16</v>
      </c>
      <c r="GH5" s="16" t="s">
        <v>88</v>
      </c>
      <c r="GI5" s="16" t="s">
        <v>89</v>
      </c>
      <c r="GJ5" s="16" t="s">
        <v>90</v>
      </c>
      <c r="GK5" s="16" t="s">
        <v>91</v>
      </c>
      <c r="GL5" s="16" t="s">
        <v>92</v>
      </c>
      <c r="GM5" s="16" t="s">
        <v>93</v>
      </c>
      <c r="GN5" s="16" t="s">
        <v>94</v>
      </c>
      <c r="GO5" s="16" t="s">
        <v>95</v>
      </c>
      <c r="GP5" s="16" t="s">
        <v>96</v>
      </c>
      <c r="GQ5" s="16" t="s">
        <v>97</v>
      </c>
      <c r="GR5" s="16" t="s">
        <v>98</v>
      </c>
      <c r="GS5" s="16" t="s">
        <v>99</v>
      </c>
      <c r="GT5" s="17" t="s">
        <v>16</v>
      </c>
      <c r="GU5" s="88"/>
      <c r="GV5" s="16" t="s">
        <v>88</v>
      </c>
      <c r="GW5" s="16" t="s">
        <v>89</v>
      </c>
      <c r="GX5" s="16" t="s">
        <v>90</v>
      </c>
      <c r="GY5" s="16" t="s">
        <v>91</v>
      </c>
      <c r="GZ5" s="16" t="s">
        <v>92</v>
      </c>
      <c r="HA5" s="16" t="s">
        <v>93</v>
      </c>
      <c r="HB5" s="16" t="s">
        <v>94</v>
      </c>
      <c r="HC5" s="16" t="s">
        <v>95</v>
      </c>
      <c r="HD5" s="16" t="s">
        <v>96</v>
      </c>
      <c r="HE5" s="16" t="s">
        <v>97</v>
      </c>
      <c r="HF5" s="16" t="s">
        <v>98</v>
      </c>
      <c r="HG5" s="16" t="s">
        <v>99</v>
      </c>
      <c r="HH5" s="17" t="s">
        <v>16</v>
      </c>
      <c r="HI5" s="16" t="s">
        <v>88</v>
      </c>
      <c r="HJ5" s="16" t="s">
        <v>89</v>
      </c>
      <c r="HK5" s="16" t="s">
        <v>90</v>
      </c>
      <c r="HL5" s="16" t="s">
        <v>91</v>
      </c>
      <c r="HM5" s="16" t="s">
        <v>92</v>
      </c>
      <c r="HN5" s="16" t="s">
        <v>93</v>
      </c>
      <c r="HO5" s="16" t="s">
        <v>94</v>
      </c>
      <c r="HP5" s="16" t="s">
        <v>95</v>
      </c>
      <c r="HQ5" s="16" t="s">
        <v>96</v>
      </c>
      <c r="HR5" s="16" t="s">
        <v>97</v>
      </c>
      <c r="HS5" s="16" t="s">
        <v>98</v>
      </c>
      <c r="HT5" s="16" t="s">
        <v>99</v>
      </c>
      <c r="HU5" s="17" t="s">
        <v>16</v>
      </c>
      <c r="HV5" s="16" t="s">
        <v>88</v>
      </c>
      <c r="HW5" s="16" t="s">
        <v>89</v>
      </c>
      <c r="HX5" s="16" t="s">
        <v>90</v>
      </c>
      <c r="HY5" s="16" t="s">
        <v>91</v>
      </c>
      <c r="HZ5" s="16" t="s">
        <v>92</v>
      </c>
      <c r="IA5" s="16" t="s">
        <v>93</v>
      </c>
      <c r="IB5" s="16" t="s">
        <v>94</v>
      </c>
      <c r="IC5" s="16" t="s">
        <v>95</v>
      </c>
      <c r="ID5" s="16" t="s">
        <v>96</v>
      </c>
      <c r="IE5" s="16" t="s">
        <v>97</v>
      </c>
      <c r="IF5" s="16" t="s">
        <v>98</v>
      </c>
      <c r="IG5" s="16" t="s">
        <v>99</v>
      </c>
      <c r="IH5" s="17" t="s">
        <v>16</v>
      </c>
      <c r="II5" s="88"/>
      <c r="IJ5" s="16" t="s">
        <v>88</v>
      </c>
      <c r="IK5" s="16" t="s">
        <v>89</v>
      </c>
      <c r="IL5" s="16" t="s">
        <v>90</v>
      </c>
      <c r="IM5" s="16" t="s">
        <v>91</v>
      </c>
      <c r="IN5" s="16" t="s">
        <v>92</v>
      </c>
      <c r="IO5" s="16" t="s">
        <v>93</v>
      </c>
      <c r="IP5" s="16" t="s">
        <v>94</v>
      </c>
      <c r="IQ5" s="16" t="s">
        <v>95</v>
      </c>
      <c r="IR5" s="16" t="s">
        <v>96</v>
      </c>
      <c r="IS5" s="16" t="s">
        <v>97</v>
      </c>
      <c r="IT5" s="16" t="s">
        <v>98</v>
      </c>
      <c r="IU5" s="16" t="s">
        <v>99</v>
      </c>
      <c r="IV5" s="17" t="s">
        <v>16</v>
      </c>
      <c r="IW5" s="16" t="s">
        <v>88</v>
      </c>
      <c r="IX5" s="16" t="s">
        <v>89</v>
      </c>
      <c r="IY5" s="16" t="s">
        <v>90</v>
      </c>
      <c r="IZ5" s="16" t="s">
        <v>91</v>
      </c>
      <c r="JA5" s="16" t="s">
        <v>92</v>
      </c>
      <c r="JB5" s="16" t="s">
        <v>93</v>
      </c>
      <c r="JC5" s="16" t="s">
        <v>94</v>
      </c>
      <c r="JD5" s="16" t="s">
        <v>95</v>
      </c>
      <c r="JE5" s="16" t="s">
        <v>96</v>
      </c>
      <c r="JF5" s="16" t="s">
        <v>97</v>
      </c>
      <c r="JG5" s="16" t="s">
        <v>98</v>
      </c>
      <c r="JH5" s="16" t="s">
        <v>99</v>
      </c>
      <c r="JI5" s="17" t="s">
        <v>16</v>
      </c>
      <c r="JJ5" s="16" t="s">
        <v>88</v>
      </c>
      <c r="JK5" s="16" t="s">
        <v>89</v>
      </c>
      <c r="JL5" s="16" t="s">
        <v>90</v>
      </c>
      <c r="JM5" s="16" t="s">
        <v>91</v>
      </c>
      <c r="JN5" s="16" t="s">
        <v>92</v>
      </c>
      <c r="JO5" s="16" t="s">
        <v>93</v>
      </c>
      <c r="JP5" s="16" t="s">
        <v>94</v>
      </c>
      <c r="JQ5" s="16" t="s">
        <v>95</v>
      </c>
      <c r="JR5" s="16" t="s">
        <v>96</v>
      </c>
      <c r="JS5" s="16" t="s">
        <v>97</v>
      </c>
      <c r="JT5" s="16" t="s">
        <v>98</v>
      </c>
      <c r="JU5" s="16" t="s">
        <v>99</v>
      </c>
      <c r="JV5" s="17" t="s">
        <v>16</v>
      </c>
      <c r="JW5" s="88"/>
      <c r="JX5" s="16" t="s">
        <v>88</v>
      </c>
      <c r="JY5" s="16" t="s">
        <v>89</v>
      </c>
      <c r="JZ5" s="16" t="s">
        <v>90</v>
      </c>
      <c r="KA5" s="16" t="s">
        <v>91</v>
      </c>
      <c r="KB5" s="16" t="s">
        <v>92</v>
      </c>
      <c r="KC5" s="16" t="s">
        <v>93</v>
      </c>
      <c r="KD5" s="16" t="s">
        <v>94</v>
      </c>
      <c r="KE5" s="16" t="s">
        <v>95</v>
      </c>
      <c r="KF5" s="16" t="s">
        <v>96</v>
      </c>
      <c r="KG5" s="16" t="s">
        <v>97</v>
      </c>
      <c r="KH5" s="16" t="s">
        <v>98</v>
      </c>
      <c r="KI5" s="16" t="s">
        <v>99</v>
      </c>
      <c r="KJ5" s="17" t="s">
        <v>16</v>
      </c>
      <c r="KK5" s="16" t="s">
        <v>88</v>
      </c>
      <c r="KL5" s="16" t="s">
        <v>89</v>
      </c>
      <c r="KM5" s="16" t="s">
        <v>90</v>
      </c>
      <c r="KN5" s="16" t="s">
        <v>91</v>
      </c>
      <c r="KO5" s="16" t="s">
        <v>92</v>
      </c>
      <c r="KP5" s="16" t="s">
        <v>93</v>
      </c>
      <c r="KQ5" s="16" t="s">
        <v>94</v>
      </c>
      <c r="KR5" s="16" t="s">
        <v>95</v>
      </c>
      <c r="KS5" s="16" t="s">
        <v>96</v>
      </c>
      <c r="KT5" s="16" t="s">
        <v>97</v>
      </c>
      <c r="KU5" s="16" t="s">
        <v>98</v>
      </c>
      <c r="KV5" s="16" t="s">
        <v>99</v>
      </c>
      <c r="KW5" s="17" t="s">
        <v>16</v>
      </c>
      <c r="KX5" s="16" t="s">
        <v>88</v>
      </c>
      <c r="KY5" s="16" t="s">
        <v>89</v>
      </c>
      <c r="KZ5" s="16" t="s">
        <v>90</v>
      </c>
      <c r="LA5" s="16" t="s">
        <v>91</v>
      </c>
      <c r="LB5" s="16" t="s">
        <v>92</v>
      </c>
      <c r="LC5" s="16" t="s">
        <v>93</v>
      </c>
      <c r="LD5" s="16" t="s">
        <v>94</v>
      </c>
      <c r="LE5" s="16" t="s">
        <v>95</v>
      </c>
      <c r="LF5" s="16" t="s">
        <v>96</v>
      </c>
      <c r="LG5" s="16" t="s">
        <v>97</v>
      </c>
      <c r="LH5" s="16" t="s">
        <v>98</v>
      </c>
      <c r="LI5" s="16" t="s">
        <v>99</v>
      </c>
      <c r="LJ5" s="17" t="s">
        <v>16</v>
      </c>
      <c r="LK5" s="88"/>
      <c r="LL5" s="16" t="s">
        <v>88</v>
      </c>
      <c r="LM5" s="16" t="s">
        <v>89</v>
      </c>
      <c r="LN5" s="16" t="s">
        <v>90</v>
      </c>
      <c r="LO5" s="16" t="s">
        <v>91</v>
      </c>
      <c r="LP5" s="16" t="s">
        <v>92</v>
      </c>
      <c r="LQ5" s="16" t="s">
        <v>93</v>
      </c>
      <c r="LR5" s="16" t="s">
        <v>94</v>
      </c>
      <c r="LS5" s="16" t="s">
        <v>95</v>
      </c>
      <c r="LT5" s="16" t="s">
        <v>96</v>
      </c>
      <c r="LU5" s="16" t="s">
        <v>97</v>
      </c>
      <c r="LV5" s="16" t="s">
        <v>98</v>
      </c>
      <c r="LW5" s="16" t="s">
        <v>99</v>
      </c>
      <c r="LX5" s="17" t="s">
        <v>16</v>
      </c>
      <c r="LY5" s="16" t="s">
        <v>88</v>
      </c>
      <c r="LZ5" s="16" t="s">
        <v>89</v>
      </c>
      <c r="MA5" s="16" t="s">
        <v>90</v>
      </c>
      <c r="MB5" s="16" t="s">
        <v>91</v>
      </c>
      <c r="MC5" s="16" t="s">
        <v>92</v>
      </c>
      <c r="MD5" s="16" t="s">
        <v>93</v>
      </c>
      <c r="ME5" s="16" t="s">
        <v>94</v>
      </c>
      <c r="MF5" s="16" t="s">
        <v>95</v>
      </c>
      <c r="MG5" s="16" t="s">
        <v>96</v>
      </c>
      <c r="MH5" s="16" t="s">
        <v>97</v>
      </c>
      <c r="MI5" s="16" t="s">
        <v>98</v>
      </c>
      <c r="MJ5" s="16" t="s">
        <v>99</v>
      </c>
      <c r="MK5" s="17" t="s">
        <v>16</v>
      </c>
      <c r="ML5" s="16" t="s">
        <v>88</v>
      </c>
      <c r="MM5" s="16" t="s">
        <v>89</v>
      </c>
      <c r="MN5" s="16" t="s">
        <v>90</v>
      </c>
      <c r="MO5" s="16" t="s">
        <v>91</v>
      </c>
      <c r="MP5" s="16" t="s">
        <v>92</v>
      </c>
      <c r="MQ5" s="16" t="s">
        <v>93</v>
      </c>
      <c r="MR5" s="16" t="s">
        <v>94</v>
      </c>
      <c r="MS5" s="16" t="s">
        <v>95</v>
      </c>
      <c r="MT5" s="16" t="s">
        <v>96</v>
      </c>
      <c r="MU5" s="16" t="s">
        <v>97</v>
      </c>
      <c r="MV5" s="16" t="s">
        <v>98</v>
      </c>
      <c r="MW5" s="16" t="s">
        <v>99</v>
      </c>
      <c r="MX5" s="17" t="s">
        <v>16</v>
      </c>
      <c r="MY5" s="88"/>
      <c r="MZ5" s="16" t="s">
        <v>348</v>
      </c>
      <c r="NA5" s="16" t="s">
        <v>349</v>
      </c>
      <c r="NB5" s="16" t="s">
        <v>350</v>
      </c>
      <c r="NC5" s="16" t="s">
        <v>351</v>
      </c>
      <c r="ND5" s="16" t="s">
        <v>352</v>
      </c>
      <c r="NE5" s="16" t="s">
        <v>353</v>
      </c>
      <c r="NF5" s="16" t="s">
        <v>354</v>
      </c>
      <c r="NG5" s="16" t="s">
        <v>355</v>
      </c>
      <c r="NH5" s="16" t="s">
        <v>356</v>
      </c>
      <c r="NI5" s="16" t="s">
        <v>357</v>
      </c>
      <c r="NJ5" s="16" t="s">
        <v>358</v>
      </c>
      <c r="NK5" s="16" t="s">
        <v>359</v>
      </c>
      <c r="NL5" s="17" t="s">
        <v>16</v>
      </c>
      <c r="NM5" s="24"/>
    </row>
    <row r="6" spans="1:377" x14ac:dyDescent="0.35">
      <c r="A6" s="5" t="s">
        <v>1</v>
      </c>
      <c r="B6" s="5" t="s">
        <v>8</v>
      </c>
      <c r="C6" s="5" t="s">
        <v>17</v>
      </c>
      <c r="D6" s="4">
        <v>147780</v>
      </c>
      <c r="E6" s="4">
        <v>147780</v>
      </c>
      <c r="F6" s="4">
        <v>147780</v>
      </c>
      <c r="G6" s="4">
        <v>147780</v>
      </c>
      <c r="H6" s="4">
        <v>147780</v>
      </c>
      <c r="I6" s="4">
        <v>116280</v>
      </c>
      <c r="J6" s="37">
        <f>20160+31500+31500+182640</f>
        <v>265800</v>
      </c>
      <c r="K6" s="37">
        <v>182640</v>
      </c>
      <c r="L6" s="4">
        <v>181590</v>
      </c>
      <c r="M6" s="4">
        <f>28350+182640</f>
        <v>210990</v>
      </c>
      <c r="N6" s="4">
        <v>174906.45</v>
      </c>
      <c r="O6" s="4">
        <f>31500+218600</f>
        <v>250100</v>
      </c>
      <c r="P6" s="4">
        <f>SUM(D6:O6)</f>
        <v>2121206.4500000002</v>
      </c>
      <c r="Q6" s="4">
        <v>3750</v>
      </c>
      <c r="R6" s="4">
        <v>3750</v>
      </c>
      <c r="S6" s="4">
        <v>3750</v>
      </c>
      <c r="T6" s="4">
        <v>3750</v>
      </c>
      <c r="U6" s="4">
        <v>3750</v>
      </c>
      <c r="V6" s="4">
        <v>3000</v>
      </c>
      <c r="W6" s="4">
        <f>750+750+4500</f>
        <v>6000</v>
      </c>
      <c r="X6" s="4">
        <v>4500</v>
      </c>
      <c r="Y6" s="4">
        <v>4500</v>
      </c>
      <c r="Z6" s="4">
        <f>750+4500</f>
        <v>5250</v>
      </c>
      <c r="AA6" s="4">
        <v>4500</v>
      </c>
      <c r="AB6" s="4">
        <f>750+5250</f>
        <v>6000</v>
      </c>
      <c r="AC6" s="4">
        <f>SUM(Q6:AB6)</f>
        <v>52500</v>
      </c>
      <c r="AD6" s="4">
        <v>1913</v>
      </c>
      <c r="AE6" s="4">
        <v>1913</v>
      </c>
      <c r="AF6" s="4">
        <v>1913</v>
      </c>
      <c r="AG6" s="4">
        <v>1913</v>
      </c>
      <c r="AH6" s="4">
        <v>1913</v>
      </c>
      <c r="AI6" s="4">
        <v>1913</v>
      </c>
      <c r="AJ6" s="37">
        <f>468+1991</f>
        <v>2459</v>
      </c>
      <c r="AK6" s="4">
        <v>1991</v>
      </c>
      <c r="AL6" s="4">
        <v>1991</v>
      </c>
      <c r="AM6" s="4">
        <v>1991</v>
      </c>
      <c r="AN6" s="4">
        <v>1991</v>
      </c>
      <c r="AO6" s="4">
        <v>1991</v>
      </c>
      <c r="AP6" s="4">
        <f>SUM(AD6:AO6)</f>
        <v>23892</v>
      </c>
      <c r="AQ6" s="4">
        <f>+P6+AC6+AP6</f>
        <v>2197598.4500000002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>
        <f>SUM(AR6:BC6)</f>
        <v>0</v>
      </c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>
        <f>SUM(BE6:BP6)</f>
        <v>0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f>SUM(BR6:CC6)</f>
        <v>0</v>
      </c>
      <c r="CE6" s="4">
        <f>+BD6+BQ6+CD6</f>
        <v>0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>
        <f>SUM(CF6:CQ6)</f>
        <v>0</v>
      </c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>
        <f>SUM(CS6:DD6)</f>
        <v>0</v>
      </c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>
        <f>SUM(DF6:DQ6)</f>
        <v>0</v>
      </c>
      <c r="DS6" s="4">
        <f>+CR6+DE6+DR6</f>
        <v>0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>
        <f>SUM(DT6:EE6)</f>
        <v>0</v>
      </c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f>SUM(EG6:ER6)</f>
        <v>0</v>
      </c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>
        <f>SUM(ET6:FE6)</f>
        <v>0</v>
      </c>
      <c r="FG6" s="4">
        <f>+EF6+ES6+FF6</f>
        <v>0</v>
      </c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>
        <f>SUM(FH6:FS6)</f>
        <v>0</v>
      </c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f>SUM(FU6:GF6)</f>
        <v>0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>
        <f>SUM(GH6:GS6)</f>
        <v>0</v>
      </c>
      <c r="GU6" s="4">
        <f>+FT6+GG6+GT6</f>
        <v>0</v>
      </c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>
        <f>SUM(GV6:HG6)</f>
        <v>0</v>
      </c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>
        <f>SUM(HI6:HT6)</f>
        <v>0</v>
      </c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>
        <f>SUM(HV6:IG6)</f>
        <v>0</v>
      </c>
      <c r="II6" s="4">
        <f>+HH6+HU6+IH6</f>
        <v>0</v>
      </c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>
        <f>SUM(IJ6:IU6)</f>
        <v>0</v>
      </c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>
        <f>SUM(IW6:JH6)</f>
        <v>0</v>
      </c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>
        <f>SUM(JJ6:JU6)</f>
        <v>0</v>
      </c>
      <c r="JW6" s="4">
        <f>+IV6+JI6+JV6</f>
        <v>0</v>
      </c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>
        <f>SUM(JX6:KI6)</f>
        <v>0</v>
      </c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>
        <f>SUM(KK6:KV6)</f>
        <v>0</v>
      </c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>
        <f>SUM(KX6:LI6)</f>
        <v>0</v>
      </c>
      <c r="LK6" s="4">
        <f>+KJ6+KW6+LJ6</f>
        <v>0</v>
      </c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>
        <f>SUM(LL6:LW6)</f>
        <v>0</v>
      </c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>
        <f>SUM(LY6:MJ6)</f>
        <v>0</v>
      </c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>
        <f>SUM(ML6:MW6)</f>
        <v>0</v>
      </c>
      <c r="MY6" s="4">
        <f>+LX6+MK6+MX6</f>
        <v>0</v>
      </c>
      <c r="MZ6" s="4"/>
      <c r="NA6" s="4"/>
      <c r="NB6" s="4"/>
      <c r="NC6" s="4"/>
      <c r="ND6" s="4"/>
      <c r="NE6" s="4"/>
      <c r="NF6" s="4"/>
      <c r="NG6" s="4"/>
      <c r="NH6" s="4"/>
      <c r="NI6" s="4">
        <f>167458.06+5600</f>
        <v>173058.06</v>
      </c>
      <c r="NJ6" s="4">
        <v>5600</v>
      </c>
      <c r="NK6" s="4">
        <v>5600</v>
      </c>
      <c r="NL6" s="4">
        <f>SUM(MZ6:NK6)</f>
        <v>184258.06</v>
      </c>
      <c r="NM6" s="13">
        <f>+AQ6+CE6+DS6+FG6+GU6+II6+JW6+LK6+MY6+NL6</f>
        <v>2381856.5100000002</v>
      </c>
    </row>
    <row r="7" spans="1:377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2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3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4">SUM(AD7:AO7)</f>
        <v>0</v>
      </c>
      <c r="AQ7" s="4">
        <f t="shared" ref="AQ7:AQ40" si="5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6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7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8">SUM(BR7:CC7)</f>
        <v>0</v>
      </c>
      <c r="CE7" s="4">
        <f t="shared" ref="CE7:CE40" si="9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10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11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12">SUM(DF7:DQ7)</f>
        <v>0</v>
      </c>
      <c r="DS7" s="4">
        <f t="shared" ref="DS7:DS40" si="13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14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15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16">SUM(ET7:FE7)</f>
        <v>0</v>
      </c>
      <c r="FG7" s="4">
        <f t="shared" ref="FG7:FG40" si="17">+EF7+ES7+FF7</f>
        <v>0</v>
      </c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>
        <f t="shared" ref="FT7:FT40" si="18">SUM(FH7:FS7)</f>
        <v>0</v>
      </c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f t="shared" ref="GG7:GG40" si="19">SUM(FU7:GF7)</f>
        <v>0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>
        <f t="shared" ref="GT7:GT40" si="20">SUM(GH7:GS7)</f>
        <v>0</v>
      </c>
      <c r="GU7" s="4">
        <f t="shared" ref="GU7:GU40" si="21">+FT7+GG7+GT7</f>
        <v>0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 t="shared" ref="HH7:HH40" si="22">SUM(GV7:HG7)</f>
        <v>0</v>
      </c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>
        <f t="shared" ref="HU7:HU40" si="23">SUM(HI7:HT7)</f>
        <v>0</v>
      </c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>
        <f t="shared" ref="IH7:IH40" si="24">SUM(HV7:IG7)</f>
        <v>0</v>
      </c>
      <c r="II7" s="4">
        <f t="shared" ref="II7:II40" si="25">+HH7+HU7+IH7</f>
        <v>0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26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27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28">SUM(JJ7:JU7)</f>
        <v>0</v>
      </c>
      <c r="JW7" s="4">
        <f t="shared" ref="JW7:JW40" si="29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30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31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32">SUM(KX7:LI7)</f>
        <v>0</v>
      </c>
      <c r="LK7" s="4">
        <f t="shared" ref="LK7:LK40" si="33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34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35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36">SUM(ML7:MW7)</f>
        <v>0</v>
      </c>
      <c r="MY7" s="4">
        <f t="shared" ref="MY7:MY40" si="37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>SUM(MZ7:NK7)</f>
        <v>0</v>
      </c>
      <c r="NM7" s="13">
        <f t="shared" ref="NM7:NM39" si="38">+AQ7+CE7+DS7+FG7+GU7+II7+JW7+LK7+MY7+NL7</f>
        <v>0</v>
      </c>
    </row>
    <row r="8" spans="1:377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2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3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4"/>
        <v>0</v>
      </c>
      <c r="AQ8" s="4">
        <f t="shared" si="5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6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7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8"/>
        <v>0</v>
      </c>
      <c r="CE8" s="4">
        <f t="shared" si="9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10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11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12"/>
        <v>0</v>
      </c>
      <c r="DS8" s="4">
        <f t="shared" si="13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14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15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16"/>
        <v>0</v>
      </c>
      <c r="FG8" s="4">
        <f t="shared" si="17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18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19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20"/>
        <v>0</v>
      </c>
      <c r="GU8" s="4">
        <f t="shared" si="21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22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23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24"/>
        <v>0</v>
      </c>
      <c r="II8" s="4">
        <f t="shared" si="25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26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27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28"/>
        <v>0</v>
      </c>
      <c r="JW8" s="4">
        <f t="shared" si="29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30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31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32"/>
        <v>0</v>
      </c>
      <c r="LK8" s="4">
        <f t="shared" si="33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34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35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36"/>
        <v>0</v>
      </c>
      <c r="MY8" s="4">
        <f t="shared" si="37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ref="NL8:NL40" si="39">SUM(MZ8:NK8)</f>
        <v>0</v>
      </c>
      <c r="NM8" s="13">
        <f t="shared" si="38"/>
        <v>0</v>
      </c>
    </row>
    <row r="9" spans="1:377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2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3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4"/>
        <v>0</v>
      </c>
      <c r="AQ9" s="4">
        <f t="shared" si="5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6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7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8"/>
        <v>0</v>
      </c>
      <c r="CE9" s="4">
        <f t="shared" si="9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10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11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12"/>
        <v>0</v>
      </c>
      <c r="DS9" s="4">
        <f t="shared" si="13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14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15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16"/>
        <v>0</v>
      </c>
      <c r="FG9" s="4">
        <f t="shared" si="17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18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19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20"/>
        <v>0</v>
      </c>
      <c r="GU9" s="4">
        <f t="shared" si="21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22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23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24"/>
        <v>0</v>
      </c>
      <c r="II9" s="4">
        <f t="shared" si="25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26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27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28"/>
        <v>0</v>
      </c>
      <c r="JW9" s="4">
        <f t="shared" si="29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30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31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32"/>
        <v>0</v>
      </c>
      <c r="LK9" s="4">
        <f t="shared" si="33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34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35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36"/>
        <v>0</v>
      </c>
      <c r="MY9" s="4">
        <f t="shared" si="37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39"/>
        <v>0</v>
      </c>
      <c r="NM9" s="13">
        <f t="shared" si="38"/>
        <v>0</v>
      </c>
    </row>
    <row r="10" spans="1:377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2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3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4"/>
        <v>0</v>
      </c>
      <c r="AQ10" s="4">
        <f t="shared" si="5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6"/>
        <v>0</v>
      </c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f t="shared" si="7"/>
        <v>0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>
        <f t="shared" si="8"/>
        <v>0</v>
      </c>
      <c r="CE10" s="4">
        <f t="shared" si="9"/>
        <v>0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>
        <f t="shared" si="10"/>
        <v>0</v>
      </c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>
        <f t="shared" si="11"/>
        <v>0</v>
      </c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f t="shared" si="12"/>
        <v>0</v>
      </c>
      <c r="DS10" s="4">
        <f t="shared" si="13"/>
        <v>0</v>
      </c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>
        <f t="shared" si="14"/>
        <v>0</v>
      </c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>
        <f t="shared" si="15"/>
        <v>0</v>
      </c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>
        <f t="shared" si="16"/>
        <v>0</v>
      </c>
      <c r="FG10" s="4">
        <f t="shared" si="17"/>
        <v>0</v>
      </c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>
        <f t="shared" si="18"/>
        <v>0</v>
      </c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>
        <f t="shared" si="19"/>
        <v>0</v>
      </c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>
        <f t="shared" si="20"/>
        <v>0</v>
      </c>
      <c r="GU10" s="4">
        <f t="shared" si="21"/>
        <v>0</v>
      </c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>
        <f t="shared" si="22"/>
        <v>0</v>
      </c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>
        <f t="shared" si="23"/>
        <v>0</v>
      </c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>
        <f t="shared" si="24"/>
        <v>0</v>
      </c>
      <c r="II10" s="4">
        <f t="shared" si="25"/>
        <v>0</v>
      </c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>
        <f t="shared" si="26"/>
        <v>0</v>
      </c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>
        <f t="shared" si="27"/>
        <v>0</v>
      </c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>
        <f t="shared" si="28"/>
        <v>0</v>
      </c>
      <c r="JW10" s="4">
        <f t="shared" si="29"/>
        <v>0</v>
      </c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>
        <f t="shared" si="30"/>
        <v>0</v>
      </c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>
        <f t="shared" si="31"/>
        <v>0</v>
      </c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>
        <f t="shared" si="32"/>
        <v>0</v>
      </c>
      <c r="LK10" s="4">
        <f t="shared" si="33"/>
        <v>0</v>
      </c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>
        <f t="shared" si="34"/>
        <v>0</v>
      </c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>
        <f t="shared" si="35"/>
        <v>0</v>
      </c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>
        <f t="shared" si="36"/>
        <v>0</v>
      </c>
      <c r="MY10" s="4">
        <f t="shared" si="37"/>
        <v>0</v>
      </c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>
        <f t="shared" si="39"/>
        <v>0</v>
      </c>
      <c r="NM10" s="13">
        <f t="shared" si="38"/>
        <v>0</v>
      </c>
    </row>
    <row r="11" spans="1:377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2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3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4"/>
        <v>0</v>
      </c>
      <c r="AQ11" s="4">
        <f t="shared" si="5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6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7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8"/>
        <v>0</v>
      </c>
      <c r="CE11" s="4">
        <f t="shared" si="9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10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11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12"/>
        <v>0</v>
      </c>
      <c r="DS11" s="4">
        <f t="shared" si="13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14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15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16"/>
        <v>0</v>
      </c>
      <c r="FG11" s="4">
        <f t="shared" si="17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18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19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20"/>
        <v>0</v>
      </c>
      <c r="GU11" s="4">
        <f t="shared" si="21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22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23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24"/>
        <v>0</v>
      </c>
      <c r="II11" s="4">
        <f t="shared" si="25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26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27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28"/>
        <v>0</v>
      </c>
      <c r="JW11" s="4">
        <f t="shared" si="29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30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31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32"/>
        <v>0</v>
      </c>
      <c r="LK11" s="4">
        <f t="shared" si="33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34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35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36"/>
        <v>0</v>
      </c>
      <c r="MY11" s="4">
        <f t="shared" si="37"/>
        <v>0</v>
      </c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>
        <f t="shared" si="39"/>
        <v>0</v>
      </c>
      <c r="NM11" s="13">
        <f t="shared" si="38"/>
        <v>0</v>
      </c>
    </row>
    <row r="12" spans="1:377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2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3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4"/>
        <v>0</v>
      </c>
      <c r="AQ12" s="4">
        <f t="shared" si="5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6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7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8"/>
        <v>0</v>
      </c>
      <c r="CE12" s="4">
        <f t="shared" si="9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10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11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12"/>
        <v>0</v>
      </c>
      <c r="DS12" s="4">
        <f t="shared" si="13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14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15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16"/>
        <v>0</v>
      </c>
      <c r="FG12" s="4">
        <f t="shared" si="17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18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19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20"/>
        <v>0</v>
      </c>
      <c r="GU12" s="4">
        <f t="shared" si="21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22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23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24"/>
        <v>0</v>
      </c>
      <c r="II12" s="4">
        <f t="shared" si="25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26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27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28"/>
        <v>0</v>
      </c>
      <c r="JW12" s="4">
        <f t="shared" si="29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30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31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32"/>
        <v>0</v>
      </c>
      <c r="LK12" s="4">
        <f t="shared" si="33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34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35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36"/>
        <v>0</v>
      </c>
      <c r="MY12" s="4">
        <f t="shared" si="37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39"/>
        <v>0</v>
      </c>
      <c r="NM12" s="13">
        <f t="shared" si="38"/>
        <v>0</v>
      </c>
    </row>
    <row r="13" spans="1:377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2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3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4"/>
        <v>0</v>
      </c>
      <c r="AQ13" s="4">
        <f t="shared" si="5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6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7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8"/>
        <v>0</v>
      </c>
      <c r="CE13" s="4">
        <f t="shared" si="9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10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11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12"/>
        <v>0</v>
      </c>
      <c r="DS13" s="4">
        <f t="shared" si="13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14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15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16"/>
        <v>0</v>
      </c>
      <c r="FG13" s="4">
        <f t="shared" si="17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18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19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20"/>
        <v>0</v>
      </c>
      <c r="GU13" s="4">
        <f t="shared" si="21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22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23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24"/>
        <v>0</v>
      </c>
      <c r="II13" s="4">
        <f t="shared" si="25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26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27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28"/>
        <v>0</v>
      </c>
      <c r="JW13" s="4">
        <f t="shared" si="29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30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31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32"/>
        <v>0</v>
      </c>
      <c r="LK13" s="4">
        <f t="shared" si="33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34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35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36"/>
        <v>0</v>
      </c>
      <c r="MY13" s="4">
        <f t="shared" si="37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39"/>
        <v>0</v>
      </c>
      <c r="NM13" s="13">
        <f t="shared" si="38"/>
        <v>0</v>
      </c>
    </row>
    <row r="14" spans="1:377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2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3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4"/>
        <v>0</v>
      </c>
      <c r="AQ14" s="4">
        <f t="shared" si="5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6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7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8"/>
        <v>0</v>
      </c>
      <c r="CE14" s="4">
        <f t="shared" si="9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10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11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12"/>
        <v>0</v>
      </c>
      <c r="DS14" s="4">
        <f t="shared" si="13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14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15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16"/>
        <v>0</v>
      </c>
      <c r="FG14" s="4">
        <f t="shared" si="17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18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19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20"/>
        <v>0</v>
      </c>
      <c r="GU14" s="4">
        <f t="shared" si="21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22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23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24"/>
        <v>0</v>
      </c>
      <c r="II14" s="4">
        <f t="shared" si="25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26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27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28"/>
        <v>0</v>
      </c>
      <c r="JW14" s="4">
        <f t="shared" si="29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30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31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32"/>
        <v>0</v>
      </c>
      <c r="LK14" s="4">
        <f t="shared" si="33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34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35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36"/>
        <v>0</v>
      </c>
      <c r="MY14" s="4">
        <f t="shared" si="37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39"/>
        <v>0</v>
      </c>
      <c r="NM14" s="13">
        <f t="shared" si="38"/>
        <v>0</v>
      </c>
    </row>
    <row r="15" spans="1:377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2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3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4"/>
        <v>0</v>
      </c>
      <c r="AQ15" s="4">
        <f t="shared" si="5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6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7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8"/>
        <v>0</v>
      </c>
      <c r="CE15" s="4">
        <f t="shared" si="9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10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11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12"/>
        <v>0</v>
      </c>
      <c r="DS15" s="4">
        <f t="shared" si="13"/>
        <v>0</v>
      </c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>
        <f t="shared" si="14"/>
        <v>0</v>
      </c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>
        <f t="shared" si="15"/>
        <v>0</v>
      </c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>
        <f t="shared" si="16"/>
        <v>0</v>
      </c>
      <c r="FG15" s="4">
        <f t="shared" si="17"/>
        <v>0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18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19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20"/>
        <v>0</v>
      </c>
      <c r="GU15" s="4">
        <f t="shared" si="21"/>
        <v>0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22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23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24"/>
        <v>0</v>
      </c>
      <c r="II15" s="4">
        <f t="shared" si="25"/>
        <v>0</v>
      </c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>
        <f t="shared" si="26"/>
        <v>0</v>
      </c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f t="shared" si="27"/>
        <v>0</v>
      </c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>
        <f t="shared" si="28"/>
        <v>0</v>
      </c>
      <c r="JW15" s="4">
        <f t="shared" si="29"/>
        <v>0</v>
      </c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>
        <f t="shared" si="30"/>
        <v>0</v>
      </c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>
        <f t="shared" si="31"/>
        <v>0</v>
      </c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>
        <f t="shared" si="32"/>
        <v>0</v>
      </c>
      <c r="LK15" s="4">
        <f t="shared" si="33"/>
        <v>0</v>
      </c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>
        <f t="shared" si="34"/>
        <v>0</v>
      </c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>
        <f t="shared" si="35"/>
        <v>0</v>
      </c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>
        <f t="shared" si="36"/>
        <v>0</v>
      </c>
      <c r="MY15" s="4">
        <f t="shared" si="37"/>
        <v>0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39"/>
        <v>0</v>
      </c>
      <c r="NM15" s="13">
        <f t="shared" si="38"/>
        <v>0</v>
      </c>
    </row>
    <row r="16" spans="1:377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2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3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4"/>
        <v>0</v>
      </c>
      <c r="AQ16" s="4">
        <f t="shared" si="5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6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7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8"/>
        <v>0</v>
      </c>
      <c r="CE16" s="4">
        <f t="shared" si="9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10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11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12"/>
        <v>0</v>
      </c>
      <c r="DS16" s="4">
        <f t="shared" si="13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14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15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16"/>
        <v>0</v>
      </c>
      <c r="FG16" s="4">
        <f t="shared" si="17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18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19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20"/>
        <v>0</v>
      </c>
      <c r="GU16" s="4">
        <f t="shared" si="21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22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23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24"/>
        <v>0</v>
      </c>
      <c r="II16" s="4">
        <f t="shared" si="25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26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27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28"/>
        <v>0</v>
      </c>
      <c r="JW16" s="4">
        <f t="shared" si="29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30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31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32"/>
        <v>0</v>
      </c>
      <c r="LK16" s="4">
        <f t="shared" si="33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34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35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36"/>
        <v>0</v>
      </c>
      <c r="MY16" s="4">
        <f t="shared" si="37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39"/>
        <v>0</v>
      </c>
      <c r="NM16" s="13">
        <f t="shared" si="38"/>
        <v>0</v>
      </c>
    </row>
    <row r="17" spans="1:377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2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3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4"/>
        <v>0</v>
      </c>
      <c r="AQ17" s="4">
        <f t="shared" si="5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6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7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8"/>
        <v>0</v>
      </c>
      <c r="CE17" s="4">
        <f t="shared" si="9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10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11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12"/>
        <v>0</v>
      </c>
      <c r="DS17" s="4">
        <f t="shared" si="13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14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15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16"/>
        <v>0</v>
      </c>
      <c r="FG17" s="4">
        <f t="shared" si="17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18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19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20"/>
        <v>0</v>
      </c>
      <c r="GU17" s="4">
        <f t="shared" si="21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22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23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24"/>
        <v>0</v>
      </c>
      <c r="II17" s="4">
        <f t="shared" si="25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26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27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28"/>
        <v>0</v>
      </c>
      <c r="JW17" s="4">
        <f t="shared" si="29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30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31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32"/>
        <v>0</v>
      </c>
      <c r="LK17" s="4">
        <f t="shared" si="33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34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35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36"/>
        <v>0</v>
      </c>
      <c r="MY17" s="4">
        <f t="shared" si="37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39"/>
        <v>0</v>
      </c>
      <c r="NM17" s="13">
        <f t="shared" si="38"/>
        <v>0</v>
      </c>
    </row>
    <row r="18" spans="1:377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2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3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4"/>
        <v>0</v>
      </c>
      <c r="AQ18" s="4">
        <f t="shared" si="5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6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7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8"/>
        <v>0</v>
      </c>
      <c r="CE18" s="4">
        <f t="shared" si="9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10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11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12"/>
        <v>0</v>
      </c>
      <c r="DS18" s="4">
        <f t="shared" si="13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14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15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16"/>
        <v>0</v>
      </c>
      <c r="FG18" s="4">
        <f t="shared" si="17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18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19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20"/>
        <v>0</v>
      </c>
      <c r="GU18" s="4">
        <f t="shared" si="21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22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23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24"/>
        <v>0</v>
      </c>
      <c r="II18" s="4">
        <f t="shared" si="25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26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27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28"/>
        <v>0</v>
      </c>
      <c r="JW18" s="4">
        <f t="shared" si="29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30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31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32"/>
        <v>0</v>
      </c>
      <c r="LK18" s="4">
        <f t="shared" si="33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34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35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36"/>
        <v>0</v>
      </c>
      <c r="MY18" s="4">
        <f t="shared" si="37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39"/>
        <v>0</v>
      </c>
      <c r="NM18" s="13">
        <f t="shared" si="38"/>
        <v>0</v>
      </c>
    </row>
    <row r="19" spans="1:377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2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3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4"/>
        <v>0</v>
      </c>
      <c r="AQ19" s="4">
        <f t="shared" si="5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6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7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8"/>
        <v>0</v>
      </c>
      <c r="CE19" s="4">
        <f t="shared" si="9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10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11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12"/>
        <v>0</v>
      </c>
      <c r="DS19" s="4">
        <f t="shared" si="13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14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15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16"/>
        <v>0</v>
      </c>
      <c r="FG19" s="4">
        <f t="shared" si="17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18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19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20"/>
        <v>0</v>
      </c>
      <c r="GU19" s="4">
        <f t="shared" si="21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22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23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24"/>
        <v>0</v>
      </c>
      <c r="II19" s="4">
        <f t="shared" si="25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26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27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28"/>
        <v>0</v>
      </c>
      <c r="JW19" s="4">
        <f t="shared" si="29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30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31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32"/>
        <v>0</v>
      </c>
      <c r="LK19" s="4">
        <f t="shared" si="33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34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35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36"/>
        <v>0</v>
      </c>
      <c r="MY19" s="4">
        <f t="shared" si="37"/>
        <v>0</v>
      </c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>
        <f t="shared" si="39"/>
        <v>0</v>
      </c>
      <c r="NM19" s="13">
        <f t="shared" si="38"/>
        <v>0</v>
      </c>
    </row>
    <row r="20" spans="1:377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2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3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4"/>
        <v>0</v>
      </c>
      <c r="AQ20" s="4">
        <f t="shared" si="5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6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7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8"/>
        <v>0</v>
      </c>
      <c r="CE20" s="4">
        <f t="shared" si="9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10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11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12"/>
        <v>0</v>
      </c>
      <c r="DS20" s="4">
        <f t="shared" si="13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14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15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16"/>
        <v>0</v>
      </c>
      <c r="FG20" s="4">
        <f t="shared" si="17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18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19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20"/>
        <v>0</v>
      </c>
      <c r="GU20" s="4">
        <f t="shared" si="21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22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23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24"/>
        <v>0</v>
      </c>
      <c r="II20" s="4">
        <f t="shared" si="25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26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27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28"/>
        <v>0</v>
      </c>
      <c r="JW20" s="4">
        <f t="shared" si="29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30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31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32"/>
        <v>0</v>
      </c>
      <c r="LK20" s="4">
        <f t="shared" si="33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34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35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36"/>
        <v>0</v>
      </c>
      <c r="MY20" s="4">
        <f t="shared" si="37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39"/>
        <v>0</v>
      </c>
      <c r="NM20" s="13">
        <f t="shared" si="38"/>
        <v>0</v>
      </c>
    </row>
    <row r="21" spans="1:377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2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3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4"/>
        <v>0</v>
      </c>
      <c r="AQ21" s="4">
        <f t="shared" si="5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6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7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8"/>
        <v>0</v>
      </c>
      <c r="CE21" s="4">
        <f t="shared" si="9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10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11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12"/>
        <v>0</v>
      </c>
      <c r="DS21" s="4">
        <f t="shared" si="13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14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15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16"/>
        <v>0</v>
      </c>
      <c r="FG21" s="4">
        <f t="shared" si="17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18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19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20"/>
        <v>0</v>
      </c>
      <c r="GU21" s="4">
        <f t="shared" si="21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22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23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24"/>
        <v>0</v>
      </c>
      <c r="II21" s="4">
        <f t="shared" si="25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26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27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28"/>
        <v>0</v>
      </c>
      <c r="JW21" s="4">
        <f t="shared" si="29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30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31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32"/>
        <v>0</v>
      </c>
      <c r="LK21" s="4">
        <f t="shared" si="33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34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35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36"/>
        <v>0</v>
      </c>
      <c r="MY21" s="4">
        <f t="shared" si="37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39"/>
        <v>0</v>
      </c>
      <c r="NM21" s="13">
        <f t="shared" si="38"/>
        <v>0</v>
      </c>
    </row>
    <row r="22" spans="1:377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2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3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4"/>
        <v>0</v>
      </c>
      <c r="AQ22" s="4">
        <f t="shared" si="5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6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7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8"/>
        <v>0</v>
      </c>
      <c r="CE22" s="4">
        <f t="shared" si="9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10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11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12"/>
        <v>0</v>
      </c>
      <c r="DS22" s="4">
        <f t="shared" si="13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14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15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16"/>
        <v>0</v>
      </c>
      <c r="FG22" s="4">
        <f t="shared" si="17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18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19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20"/>
        <v>0</v>
      </c>
      <c r="GU22" s="4">
        <f t="shared" si="21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22"/>
        <v>0</v>
      </c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>
        <f t="shared" si="23"/>
        <v>0</v>
      </c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>
        <f t="shared" si="24"/>
        <v>0</v>
      </c>
      <c r="II22" s="4">
        <f t="shared" si="25"/>
        <v>0</v>
      </c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>
        <f t="shared" si="26"/>
        <v>0</v>
      </c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f t="shared" si="27"/>
        <v>0</v>
      </c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>
        <f t="shared" si="28"/>
        <v>0</v>
      </c>
      <c r="JW22" s="4">
        <f t="shared" si="29"/>
        <v>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30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31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32"/>
        <v>0</v>
      </c>
      <c r="LK22" s="4">
        <f t="shared" si="33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34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35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36"/>
        <v>0</v>
      </c>
      <c r="MY22" s="4">
        <f t="shared" si="37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39"/>
        <v>0</v>
      </c>
      <c r="NM22" s="13">
        <f t="shared" si="38"/>
        <v>0</v>
      </c>
    </row>
    <row r="23" spans="1:377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2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3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4"/>
        <v>0</v>
      </c>
      <c r="AQ23" s="4">
        <f t="shared" si="5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6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7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8"/>
        <v>0</v>
      </c>
      <c r="CE23" s="4">
        <f t="shared" si="9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10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11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12"/>
        <v>0</v>
      </c>
      <c r="DS23" s="4">
        <f t="shared" si="13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14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15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16"/>
        <v>0</v>
      </c>
      <c r="FG23" s="4">
        <f t="shared" si="17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18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19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20"/>
        <v>0</v>
      </c>
      <c r="GU23" s="4">
        <f t="shared" si="21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22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23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24"/>
        <v>0</v>
      </c>
      <c r="II23" s="4">
        <f t="shared" si="25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26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27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28"/>
        <v>0</v>
      </c>
      <c r="JW23" s="4">
        <f t="shared" si="29"/>
        <v>0</v>
      </c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>
        <f t="shared" si="30"/>
        <v>0</v>
      </c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>
        <f t="shared" si="31"/>
        <v>0</v>
      </c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>
        <f t="shared" si="32"/>
        <v>0</v>
      </c>
      <c r="LK23" s="4">
        <f t="shared" si="33"/>
        <v>0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>
        <f t="shared" si="34"/>
        <v>0</v>
      </c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>
        <f t="shared" si="35"/>
        <v>0</v>
      </c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>
        <f t="shared" si="36"/>
        <v>0</v>
      </c>
      <c r="MY23" s="4">
        <f t="shared" si="37"/>
        <v>0</v>
      </c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>
        <f t="shared" si="39"/>
        <v>0</v>
      </c>
      <c r="NM23" s="13">
        <f t="shared" si="38"/>
        <v>0</v>
      </c>
    </row>
    <row r="24" spans="1:377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2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3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4"/>
        <v>0</v>
      </c>
      <c r="AQ24" s="4">
        <f t="shared" si="5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6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7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8"/>
        <v>0</v>
      </c>
      <c r="CE24" s="4">
        <f t="shared" si="9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10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11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12"/>
        <v>0</v>
      </c>
      <c r="DS24" s="4">
        <f t="shared" si="13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14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15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16"/>
        <v>0</v>
      </c>
      <c r="FG24" s="4">
        <f t="shared" si="17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18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19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20"/>
        <v>0</v>
      </c>
      <c r="GU24" s="4">
        <f t="shared" si="21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22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23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24"/>
        <v>0</v>
      </c>
      <c r="II24" s="4">
        <f t="shared" si="25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26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27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28"/>
        <v>0</v>
      </c>
      <c r="JW24" s="4">
        <f t="shared" si="29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30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31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32"/>
        <v>0</v>
      </c>
      <c r="LK24" s="4">
        <f t="shared" si="33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34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35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36"/>
        <v>0</v>
      </c>
      <c r="MY24" s="4">
        <f t="shared" si="37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39"/>
        <v>0</v>
      </c>
      <c r="NM24" s="13">
        <f t="shared" si="38"/>
        <v>0</v>
      </c>
    </row>
    <row r="25" spans="1:377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2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3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4"/>
        <v>0</v>
      </c>
      <c r="AQ25" s="4">
        <f t="shared" si="5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6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7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8"/>
        <v>0</v>
      </c>
      <c r="CE25" s="4">
        <f t="shared" si="9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10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11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12"/>
        <v>0</v>
      </c>
      <c r="DS25" s="4">
        <f t="shared" si="13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14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15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16"/>
        <v>0</v>
      </c>
      <c r="FG25" s="4">
        <f t="shared" si="17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18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19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20"/>
        <v>0</v>
      </c>
      <c r="GU25" s="4">
        <f t="shared" si="21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22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23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24"/>
        <v>0</v>
      </c>
      <c r="II25" s="4">
        <f t="shared" si="25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26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27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28"/>
        <v>0</v>
      </c>
      <c r="JW25" s="4">
        <f t="shared" si="29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30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31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32"/>
        <v>0</v>
      </c>
      <c r="LK25" s="4">
        <f t="shared" si="33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34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35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36"/>
        <v>0</v>
      </c>
      <c r="MY25" s="4">
        <f t="shared" si="37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39"/>
        <v>0</v>
      </c>
      <c r="NM25" s="13">
        <f t="shared" si="38"/>
        <v>0</v>
      </c>
    </row>
    <row r="26" spans="1:377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2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3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4"/>
        <v>0</v>
      </c>
      <c r="AQ26" s="4">
        <f t="shared" si="5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6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7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8"/>
        <v>0</v>
      </c>
      <c r="CE26" s="4">
        <f t="shared" si="9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10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11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12"/>
        <v>0</v>
      </c>
      <c r="DS26" s="4">
        <f t="shared" si="13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14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15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16"/>
        <v>0</v>
      </c>
      <c r="FG26" s="4">
        <f t="shared" si="17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18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19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20"/>
        <v>0</v>
      </c>
      <c r="GU26" s="4">
        <f t="shared" si="21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22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23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24"/>
        <v>0</v>
      </c>
      <c r="II26" s="4">
        <f t="shared" si="25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26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27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28"/>
        <v>0</v>
      </c>
      <c r="JW26" s="4">
        <f t="shared" si="29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30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31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32"/>
        <v>0</v>
      </c>
      <c r="LK26" s="4">
        <f t="shared" si="33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34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35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36"/>
        <v>0</v>
      </c>
      <c r="MY26" s="4">
        <f t="shared" si="37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39"/>
        <v>0</v>
      </c>
      <c r="NM26" s="13">
        <f t="shared" si="38"/>
        <v>0</v>
      </c>
    </row>
    <row r="27" spans="1:377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2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3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4"/>
        <v>0</v>
      </c>
      <c r="AQ27" s="4">
        <f t="shared" si="5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6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7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8"/>
        <v>0</v>
      </c>
      <c r="CE27" s="4">
        <f t="shared" si="9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10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11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12"/>
        <v>0</v>
      </c>
      <c r="DS27" s="4">
        <f t="shared" si="13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14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15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16"/>
        <v>0</v>
      </c>
      <c r="FG27" s="4">
        <f t="shared" si="17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18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19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20"/>
        <v>0</v>
      </c>
      <c r="GU27" s="4">
        <f t="shared" si="21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22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23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24"/>
        <v>0</v>
      </c>
      <c r="II27" s="4">
        <f t="shared" si="25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26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27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28"/>
        <v>0</v>
      </c>
      <c r="JW27" s="4">
        <f t="shared" si="29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30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31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32"/>
        <v>0</v>
      </c>
      <c r="LK27" s="4">
        <f t="shared" si="33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34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35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36"/>
        <v>0</v>
      </c>
      <c r="MY27" s="4">
        <f t="shared" si="37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39"/>
        <v>0</v>
      </c>
      <c r="NM27" s="13">
        <f t="shared" si="38"/>
        <v>0</v>
      </c>
    </row>
    <row r="28" spans="1:377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2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3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4"/>
        <v>0</v>
      </c>
      <c r="AQ28" s="4">
        <f t="shared" si="5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6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7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8"/>
        <v>0</v>
      </c>
      <c r="CE28" s="4">
        <f t="shared" si="9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10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11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12"/>
        <v>0</v>
      </c>
      <c r="DS28" s="4">
        <f t="shared" si="13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14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15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16"/>
        <v>0</v>
      </c>
      <c r="FG28" s="4">
        <f t="shared" si="17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18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19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20"/>
        <v>0</v>
      </c>
      <c r="GU28" s="4">
        <f t="shared" si="21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22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23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24"/>
        <v>0</v>
      </c>
      <c r="II28" s="4">
        <f t="shared" si="25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26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27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28"/>
        <v>0</v>
      </c>
      <c r="JW28" s="4">
        <f t="shared" si="29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30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31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32"/>
        <v>0</v>
      </c>
      <c r="LK28" s="4">
        <f t="shared" si="33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34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35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36"/>
        <v>0</v>
      </c>
      <c r="MY28" s="4">
        <f t="shared" si="37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39"/>
        <v>0</v>
      </c>
      <c r="NM28" s="13">
        <f t="shared" si="38"/>
        <v>0</v>
      </c>
    </row>
    <row r="29" spans="1:377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2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3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4"/>
        <v>0</v>
      </c>
      <c r="AQ29" s="4">
        <f t="shared" si="5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6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7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8"/>
        <v>0</v>
      </c>
      <c r="CE29" s="4">
        <f t="shared" si="9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10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11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12"/>
        <v>0</v>
      </c>
      <c r="DS29" s="4">
        <f t="shared" si="13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14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15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16"/>
        <v>0</v>
      </c>
      <c r="FG29" s="4">
        <f t="shared" si="17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18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19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20"/>
        <v>0</v>
      </c>
      <c r="GU29" s="4">
        <f t="shared" si="21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22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23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24"/>
        <v>0</v>
      </c>
      <c r="II29" s="4">
        <f t="shared" si="25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26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27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28"/>
        <v>0</v>
      </c>
      <c r="JW29" s="4">
        <f t="shared" si="29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30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31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32"/>
        <v>0</v>
      </c>
      <c r="LK29" s="4">
        <f t="shared" si="33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34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35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36"/>
        <v>0</v>
      </c>
      <c r="MY29" s="4">
        <f t="shared" si="37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39"/>
        <v>0</v>
      </c>
      <c r="NM29" s="13">
        <f t="shared" si="38"/>
        <v>0</v>
      </c>
    </row>
    <row r="30" spans="1:377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2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3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4"/>
        <v>0</v>
      </c>
      <c r="AQ30" s="4">
        <f t="shared" si="5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6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7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8"/>
        <v>0</v>
      </c>
      <c r="CE30" s="4">
        <f t="shared" si="9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10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11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12"/>
        <v>0</v>
      </c>
      <c r="DS30" s="4">
        <f t="shared" si="13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14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15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16"/>
        <v>0</v>
      </c>
      <c r="FG30" s="4">
        <f t="shared" si="17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18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19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20"/>
        <v>0</v>
      </c>
      <c r="GU30" s="4">
        <f t="shared" si="21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22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23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24"/>
        <v>0</v>
      </c>
      <c r="II30" s="4">
        <f t="shared" si="25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26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27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28"/>
        <v>0</v>
      </c>
      <c r="JW30" s="4">
        <f t="shared" si="29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30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31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32"/>
        <v>0</v>
      </c>
      <c r="LK30" s="4">
        <f t="shared" si="33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34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35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36"/>
        <v>0</v>
      </c>
      <c r="MY30" s="4">
        <f t="shared" si="37"/>
        <v>0</v>
      </c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>
        <f t="shared" si="39"/>
        <v>0</v>
      </c>
      <c r="NM30" s="13">
        <f t="shared" si="38"/>
        <v>0</v>
      </c>
    </row>
    <row r="31" spans="1:377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2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3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4"/>
        <v>0</v>
      </c>
      <c r="AQ31" s="4">
        <f t="shared" si="5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6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7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8"/>
        <v>0</v>
      </c>
      <c r="CE31" s="4">
        <f t="shared" si="9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10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11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12"/>
        <v>0</v>
      </c>
      <c r="DS31" s="4">
        <f t="shared" si="13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14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15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16"/>
        <v>0</v>
      </c>
      <c r="FG31" s="4">
        <f t="shared" si="17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18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19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20"/>
        <v>0</v>
      </c>
      <c r="GU31" s="4">
        <f t="shared" si="21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22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23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24"/>
        <v>0</v>
      </c>
      <c r="II31" s="4">
        <f t="shared" si="25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26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27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28"/>
        <v>0</v>
      </c>
      <c r="JW31" s="4">
        <f t="shared" si="29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30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31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32"/>
        <v>0</v>
      </c>
      <c r="LK31" s="4">
        <f t="shared" si="33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34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35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36"/>
        <v>0</v>
      </c>
      <c r="MY31" s="4">
        <f t="shared" si="37"/>
        <v>0</v>
      </c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>
        <f>SUM(MZ31:NK31)</f>
        <v>0</v>
      </c>
      <c r="NM31" s="13">
        <f t="shared" si="38"/>
        <v>0</v>
      </c>
    </row>
    <row r="32" spans="1:377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2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3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4"/>
        <v>0</v>
      </c>
      <c r="AQ32" s="4">
        <f t="shared" si="5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6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7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8"/>
        <v>0</v>
      </c>
      <c r="CE32" s="4">
        <f t="shared" si="9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10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11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12"/>
        <v>0</v>
      </c>
      <c r="DS32" s="4">
        <f t="shared" si="13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14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15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16"/>
        <v>0</v>
      </c>
      <c r="FG32" s="4">
        <f t="shared" si="17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18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19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20"/>
        <v>0</v>
      </c>
      <c r="GU32" s="4">
        <f t="shared" si="21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22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23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24"/>
        <v>0</v>
      </c>
      <c r="II32" s="4">
        <f t="shared" si="25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26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27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28"/>
        <v>0</v>
      </c>
      <c r="JW32" s="4">
        <f t="shared" si="29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30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31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32"/>
        <v>0</v>
      </c>
      <c r="LK32" s="4">
        <f t="shared" si="33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34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35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36"/>
        <v>0</v>
      </c>
      <c r="MY32" s="4">
        <f t="shared" si="37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39"/>
        <v>0</v>
      </c>
      <c r="NM32" s="13">
        <f t="shared" si="38"/>
        <v>0</v>
      </c>
    </row>
    <row r="33" spans="1:377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2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3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4"/>
        <v>0</v>
      </c>
      <c r="AQ33" s="4">
        <f t="shared" si="5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6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7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8"/>
        <v>0</v>
      </c>
      <c r="CE33" s="4">
        <f t="shared" si="9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10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11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12"/>
        <v>0</v>
      </c>
      <c r="DS33" s="4">
        <f t="shared" si="13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14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15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16"/>
        <v>0</v>
      </c>
      <c r="FG33" s="4">
        <f t="shared" si="17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18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19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20"/>
        <v>0</v>
      </c>
      <c r="GU33" s="4">
        <f t="shared" si="21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22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23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24"/>
        <v>0</v>
      </c>
      <c r="II33" s="4">
        <f t="shared" si="25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26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27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28"/>
        <v>0</v>
      </c>
      <c r="JW33" s="4">
        <f t="shared" si="29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30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31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32"/>
        <v>0</v>
      </c>
      <c r="LK33" s="4">
        <f t="shared" si="33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34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35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36"/>
        <v>0</v>
      </c>
      <c r="MY33" s="4">
        <f t="shared" si="37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39"/>
        <v>0</v>
      </c>
      <c r="NM33" s="13">
        <f t="shared" si="38"/>
        <v>0</v>
      </c>
    </row>
    <row r="34" spans="1:377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2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3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4"/>
        <v>0</v>
      </c>
      <c r="AQ34" s="4">
        <f t="shared" si="5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6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7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8"/>
        <v>0</v>
      </c>
      <c r="CE34" s="4">
        <f t="shared" si="9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10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11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12"/>
        <v>0</v>
      </c>
      <c r="DS34" s="4">
        <f t="shared" si="13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14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15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16"/>
        <v>0</v>
      </c>
      <c r="FG34" s="4">
        <f t="shared" si="17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18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19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20"/>
        <v>0</v>
      </c>
      <c r="GU34" s="4">
        <f t="shared" si="21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22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23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24"/>
        <v>0</v>
      </c>
      <c r="II34" s="4">
        <f t="shared" si="25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26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27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28"/>
        <v>0</v>
      </c>
      <c r="JW34" s="4">
        <f t="shared" si="29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30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31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32"/>
        <v>0</v>
      </c>
      <c r="LK34" s="4">
        <f t="shared" si="33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34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35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36"/>
        <v>0</v>
      </c>
      <c r="MY34" s="4">
        <f t="shared" si="37"/>
        <v>0</v>
      </c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>
        <f t="shared" si="39"/>
        <v>0</v>
      </c>
      <c r="NM34" s="13">
        <f t="shared" si="38"/>
        <v>0</v>
      </c>
    </row>
    <row r="35" spans="1:377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2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3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4"/>
        <v>0</v>
      </c>
      <c r="AQ35" s="4">
        <f t="shared" si="5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6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7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8"/>
        <v>0</v>
      </c>
      <c r="CE35" s="4">
        <f t="shared" si="9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10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11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12"/>
        <v>0</v>
      </c>
      <c r="DS35" s="4">
        <f t="shared" si="13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14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15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16"/>
        <v>0</v>
      </c>
      <c r="FG35" s="4">
        <f t="shared" si="17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18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19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20"/>
        <v>0</v>
      </c>
      <c r="GU35" s="4">
        <f t="shared" si="21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22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23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24"/>
        <v>0</v>
      </c>
      <c r="II35" s="4">
        <f t="shared" si="25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26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27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28"/>
        <v>0</v>
      </c>
      <c r="JW35" s="4">
        <f t="shared" si="29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30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31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32"/>
        <v>0</v>
      </c>
      <c r="LK35" s="4">
        <f t="shared" si="33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34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35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36"/>
        <v>0</v>
      </c>
      <c r="MY35" s="4">
        <f t="shared" si="37"/>
        <v>0</v>
      </c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4">
        <f t="shared" si="39"/>
        <v>0</v>
      </c>
      <c r="NM35" s="13">
        <f t="shared" si="38"/>
        <v>0</v>
      </c>
    </row>
    <row r="36" spans="1:377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3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4"/>
        <v>0</v>
      </c>
      <c r="AQ36" s="4">
        <f t="shared" si="5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6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7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8"/>
        <v>0</v>
      </c>
      <c r="CE36" s="4">
        <f t="shared" si="9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10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11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12"/>
        <v>0</v>
      </c>
      <c r="DS36" s="4">
        <f t="shared" si="13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14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15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16"/>
        <v>0</v>
      </c>
      <c r="FG36" s="4">
        <f t="shared" si="17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18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19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20"/>
        <v>0</v>
      </c>
      <c r="GU36" s="4">
        <f t="shared" si="21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22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23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24"/>
        <v>0</v>
      </c>
      <c r="II36" s="4">
        <f t="shared" si="25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26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27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28"/>
        <v>0</v>
      </c>
      <c r="JW36" s="4">
        <f t="shared" si="29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30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31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32"/>
        <v>0</v>
      </c>
      <c r="LK36" s="4">
        <f t="shared" si="33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34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35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36"/>
        <v>0</v>
      </c>
      <c r="MY36" s="4">
        <f t="shared" si="37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39"/>
        <v>0</v>
      </c>
      <c r="NM36" s="13">
        <f t="shared" si="38"/>
        <v>0</v>
      </c>
    </row>
    <row r="37" spans="1:377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2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3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4"/>
        <v>0</v>
      </c>
      <c r="AQ37" s="4">
        <f t="shared" si="5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6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7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8"/>
        <v>0</v>
      </c>
      <c r="CE37" s="4">
        <f t="shared" si="9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10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11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12"/>
        <v>0</v>
      </c>
      <c r="DS37" s="4">
        <f t="shared" si="13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14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15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16"/>
        <v>0</v>
      </c>
      <c r="FG37" s="4">
        <f t="shared" si="17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18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19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20"/>
        <v>0</v>
      </c>
      <c r="GU37" s="4">
        <f t="shared" si="21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22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23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24"/>
        <v>0</v>
      </c>
      <c r="II37" s="4">
        <f t="shared" si="25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26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27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28"/>
        <v>0</v>
      </c>
      <c r="JW37" s="4">
        <f t="shared" si="29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30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31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32"/>
        <v>0</v>
      </c>
      <c r="LK37" s="4">
        <f t="shared" si="33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34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35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36"/>
        <v>0</v>
      </c>
      <c r="MY37" s="4">
        <f t="shared" si="37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39"/>
        <v>0</v>
      </c>
      <c r="NM37" s="13">
        <f t="shared" si="38"/>
        <v>0</v>
      </c>
    </row>
    <row r="38" spans="1:377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2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3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4"/>
        <v>0</v>
      </c>
      <c r="AQ38" s="4">
        <f t="shared" si="5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6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7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8"/>
        <v>0</v>
      </c>
      <c r="CE38" s="4">
        <f t="shared" si="9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10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11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12"/>
        <v>0</v>
      </c>
      <c r="DS38" s="4">
        <f t="shared" si="13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14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15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16"/>
        <v>0</v>
      </c>
      <c r="FG38" s="4">
        <f t="shared" si="17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18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19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20"/>
        <v>0</v>
      </c>
      <c r="GU38" s="4">
        <f t="shared" si="21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22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23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24"/>
        <v>0</v>
      </c>
      <c r="II38" s="4">
        <f t="shared" si="25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26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27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28"/>
        <v>0</v>
      </c>
      <c r="JW38" s="4">
        <f t="shared" si="29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30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31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32"/>
        <v>0</v>
      </c>
      <c r="LK38" s="4">
        <f t="shared" si="33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34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35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36"/>
        <v>0</v>
      </c>
      <c r="MY38" s="4">
        <f t="shared" si="37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39"/>
        <v>0</v>
      </c>
      <c r="NM38" s="13">
        <f t="shared" si="38"/>
        <v>0</v>
      </c>
    </row>
    <row r="39" spans="1:377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2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3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4"/>
        <v>0</v>
      </c>
      <c r="AQ39" s="4">
        <f t="shared" si="5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6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7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8"/>
        <v>0</v>
      </c>
      <c r="CE39" s="4">
        <f t="shared" si="9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10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11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12"/>
        <v>0</v>
      </c>
      <c r="DS39" s="4">
        <f t="shared" si="13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14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15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16"/>
        <v>0</v>
      </c>
      <c r="FG39" s="4">
        <f t="shared" si="17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18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19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20"/>
        <v>0</v>
      </c>
      <c r="GU39" s="4">
        <f t="shared" si="21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22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23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24"/>
        <v>0</v>
      </c>
      <c r="II39" s="4">
        <f t="shared" si="25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26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27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28"/>
        <v>0</v>
      </c>
      <c r="JW39" s="4">
        <f t="shared" si="29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30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31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32"/>
        <v>0</v>
      </c>
      <c r="LK39" s="4">
        <f t="shared" si="33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34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35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36"/>
        <v>0</v>
      </c>
      <c r="MY39" s="4">
        <f t="shared" si="37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39"/>
        <v>0</v>
      </c>
      <c r="NM39" s="13">
        <f t="shared" si="38"/>
        <v>0</v>
      </c>
    </row>
    <row r="40" spans="1:377" s="10" customFormat="1" ht="21.75" thickBot="1" x14ac:dyDescent="0.4">
      <c r="A40" s="8"/>
      <c r="B40" s="8"/>
      <c r="C40" s="8"/>
      <c r="D40" s="9">
        <f>SUM(D6:D39)</f>
        <v>147780</v>
      </c>
      <c r="E40" s="9">
        <f t="shared" ref="E40:O40" si="40">SUM(E6:E39)</f>
        <v>147780</v>
      </c>
      <c r="F40" s="9">
        <f t="shared" si="40"/>
        <v>147780</v>
      </c>
      <c r="G40" s="9">
        <f t="shared" si="40"/>
        <v>147780</v>
      </c>
      <c r="H40" s="9">
        <f t="shared" si="40"/>
        <v>147780</v>
      </c>
      <c r="I40" s="9">
        <f t="shared" si="40"/>
        <v>116280</v>
      </c>
      <c r="J40" s="9">
        <f t="shared" si="40"/>
        <v>265800</v>
      </c>
      <c r="K40" s="9">
        <f t="shared" si="40"/>
        <v>182640</v>
      </c>
      <c r="L40" s="9">
        <f t="shared" si="40"/>
        <v>181590</v>
      </c>
      <c r="M40" s="9">
        <f t="shared" si="40"/>
        <v>210990</v>
      </c>
      <c r="N40" s="9">
        <f t="shared" si="40"/>
        <v>174906.45</v>
      </c>
      <c r="O40" s="9">
        <f t="shared" si="40"/>
        <v>250100</v>
      </c>
      <c r="P40" s="25">
        <f t="shared" si="2"/>
        <v>2121206.4500000002</v>
      </c>
      <c r="Q40" s="9">
        <f>SUM(Q6:Q39)</f>
        <v>3750</v>
      </c>
      <c r="R40" s="9">
        <f t="shared" ref="R40:AB40" si="41">SUM(R6:R39)</f>
        <v>3750</v>
      </c>
      <c r="S40" s="9">
        <f t="shared" si="41"/>
        <v>3750</v>
      </c>
      <c r="T40" s="9">
        <f t="shared" si="41"/>
        <v>3750</v>
      </c>
      <c r="U40" s="9">
        <f t="shared" si="41"/>
        <v>3750</v>
      </c>
      <c r="V40" s="9">
        <f t="shared" si="41"/>
        <v>3000</v>
      </c>
      <c r="W40" s="9">
        <f t="shared" si="41"/>
        <v>6000</v>
      </c>
      <c r="X40" s="9">
        <f t="shared" si="41"/>
        <v>4500</v>
      </c>
      <c r="Y40" s="9">
        <f t="shared" si="41"/>
        <v>4500</v>
      </c>
      <c r="Z40" s="9">
        <f t="shared" si="41"/>
        <v>5250</v>
      </c>
      <c r="AA40" s="9">
        <f t="shared" si="41"/>
        <v>4500</v>
      </c>
      <c r="AB40" s="9">
        <f t="shared" si="41"/>
        <v>6000</v>
      </c>
      <c r="AC40" s="25">
        <f t="shared" si="3"/>
        <v>52500</v>
      </c>
      <c r="AD40" s="9">
        <f>SUM(AD6:AD39)</f>
        <v>1913</v>
      </c>
      <c r="AE40" s="9">
        <f t="shared" ref="AE40:AO40" si="42">SUM(AE6:AE39)</f>
        <v>1913</v>
      </c>
      <c r="AF40" s="9">
        <f t="shared" si="42"/>
        <v>1913</v>
      </c>
      <c r="AG40" s="9">
        <f t="shared" si="42"/>
        <v>1913</v>
      </c>
      <c r="AH40" s="9">
        <f t="shared" si="42"/>
        <v>1913</v>
      </c>
      <c r="AI40" s="9">
        <f t="shared" si="42"/>
        <v>1913</v>
      </c>
      <c r="AJ40" s="9">
        <f t="shared" si="42"/>
        <v>2459</v>
      </c>
      <c r="AK40" s="9">
        <f t="shared" si="42"/>
        <v>1991</v>
      </c>
      <c r="AL40" s="9">
        <f t="shared" si="42"/>
        <v>1991</v>
      </c>
      <c r="AM40" s="9">
        <f t="shared" si="42"/>
        <v>1991</v>
      </c>
      <c r="AN40" s="9">
        <f t="shared" si="42"/>
        <v>1991</v>
      </c>
      <c r="AO40" s="9">
        <f t="shared" si="42"/>
        <v>1991</v>
      </c>
      <c r="AP40" s="25">
        <f t="shared" si="4"/>
        <v>23892</v>
      </c>
      <c r="AQ40" s="25">
        <f t="shared" si="5"/>
        <v>2197598.4500000002</v>
      </c>
      <c r="AR40" s="9">
        <f>SUM(AR6:AR39)</f>
        <v>0</v>
      </c>
      <c r="AS40" s="9">
        <f t="shared" ref="AS40:BC40" si="43">SUM(AS6:AS39)</f>
        <v>0</v>
      </c>
      <c r="AT40" s="9">
        <f t="shared" si="43"/>
        <v>0</v>
      </c>
      <c r="AU40" s="9">
        <f t="shared" si="43"/>
        <v>0</v>
      </c>
      <c r="AV40" s="9">
        <f t="shared" si="43"/>
        <v>0</v>
      </c>
      <c r="AW40" s="9">
        <f t="shared" si="43"/>
        <v>0</v>
      </c>
      <c r="AX40" s="9">
        <f t="shared" si="43"/>
        <v>0</v>
      </c>
      <c r="AY40" s="9">
        <f t="shared" si="43"/>
        <v>0</v>
      </c>
      <c r="AZ40" s="9">
        <f t="shared" si="43"/>
        <v>0</v>
      </c>
      <c r="BA40" s="9">
        <f t="shared" si="43"/>
        <v>0</v>
      </c>
      <c r="BB40" s="9">
        <f t="shared" si="43"/>
        <v>0</v>
      </c>
      <c r="BC40" s="9">
        <f t="shared" si="43"/>
        <v>0</v>
      </c>
      <c r="BD40" s="25">
        <f t="shared" si="6"/>
        <v>0</v>
      </c>
      <c r="BE40" s="9">
        <f>SUM(BE6:BE39)</f>
        <v>0</v>
      </c>
      <c r="BF40" s="9">
        <f t="shared" ref="BF40:BP40" si="44">SUM(BF6:BF39)</f>
        <v>0</v>
      </c>
      <c r="BG40" s="9">
        <f t="shared" si="44"/>
        <v>0</v>
      </c>
      <c r="BH40" s="9">
        <f t="shared" si="44"/>
        <v>0</v>
      </c>
      <c r="BI40" s="9">
        <f t="shared" si="44"/>
        <v>0</v>
      </c>
      <c r="BJ40" s="9">
        <f t="shared" si="44"/>
        <v>0</v>
      </c>
      <c r="BK40" s="9">
        <f t="shared" si="44"/>
        <v>0</v>
      </c>
      <c r="BL40" s="9">
        <f t="shared" si="44"/>
        <v>0</v>
      </c>
      <c r="BM40" s="9">
        <f t="shared" si="44"/>
        <v>0</v>
      </c>
      <c r="BN40" s="9">
        <f t="shared" si="44"/>
        <v>0</v>
      </c>
      <c r="BO40" s="9">
        <f t="shared" si="44"/>
        <v>0</v>
      </c>
      <c r="BP40" s="9">
        <f t="shared" si="44"/>
        <v>0</v>
      </c>
      <c r="BQ40" s="25">
        <f t="shared" si="7"/>
        <v>0</v>
      </c>
      <c r="BR40" s="9">
        <f>SUM(BR6:BR39)</f>
        <v>0</v>
      </c>
      <c r="BS40" s="9">
        <f t="shared" ref="BS40:CC40" si="45">SUM(BS6:BS39)</f>
        <v>0</v>
      </c>
      <c r="BT40" s="9">
        <f t="shared" si="45"/>
        <v>0</v>
      </c>
      <c r="BU40" s="9">
        <f t="shared" si="45"/>
        <v>0</v>
      </c>
      <c r="BV40" s="9">
        <f t="shared" si="45"/>
        <v>0</v>
      </c>
      <c r="BW40" s="9">
        <f t="shared" si="45"/>
        <v>0</v>
      </c>
      <c r="BX40" s="9">
        <f t="shared" si="45"/>
        <v>0</v>
      </c>
      <c r="BY40" s="9">
        <f t="shared" si="45"/>
        <v>0</v>
      </c>
      <c r="BZ40" s="9">
        <f t="shared" si="45"/>
        <v>0</v>
      </c>
      <c r="CA40" s="9">
        <f t="shared" si="45"/>
        <v>0</v>
      </c>
      <c r="CB40" s="9">
        <f t="shared" si="45"/>
        <v>0</v>
      </c>
      <c r="CC40" s="9">
        <f t="shared" si="45"/>
        <v>0</v>
      </c>
      <c r="CD40" s="25">
        <f t="shared" si="8"/>
        <v>0</v>
      </c>
      <c r="CE40" s="25">
        <f t="shared" si="9"/>
        <v>0</v>
      </c>
      <c r="CF40" s="9">
        <f>SUM(CF6:CF39)</f>
        <v>0</v>
      </c>
      <c r="CG40" s="9">
        <f t="shared" ref="CG40:CQ40" si="46">SUM(CG6:CG39)</f>
        <v>0</v>
      </c>
      <c r="CH40" s="9">
        <f t="shared" si="46"/>
        <v>0</v>
      </c>
      <c r="CI40" s="9">
        <f t="shared" si="46"/>
        <v>0</v>
      </c>
      <c r="CJ40" s="9">
        <f t="shared" si="46"/>
        <v>0</v>
      </c>
      <c r="CK40" s="9">
        <f t="shared" si="46"/>
        <v>0</v>
      </c>
      <c r="CL40" s="9">
        <f t="shared" si="46"/>
        <v>0</v>
      </c>
      <c r="CM40" s="9">
        <f t="shared" si="46"/>
        <v>0</v>
      </c>
      <c r="CN40" s="9">
        <f t="shared" si="46"/>
        <v>0</v>
      </c>
      <c r="CO40" s="9">
        <f t="shared" si="46"/>
        <v>0</v>
      </c>
      <c r="CP40" s="9">
        <f t="shared" si="46"/>
        <v>0</v>
      </c>
      <c r="CQ40" s="9">
        <f t="shared" si="46"/>
        <v>0</v>
      </c>
      <c r="CR40" s="25">
        <f t="shared" si="10"/>
        <v>0</v>
      </c>
      <c r="CS40" s="9">
        <f>SUM(CS6:CS39)</f>
        <v>0</v>
      </c>
      <c r="CT40" s="9">
        <f t="shared" ref="CT40:DD40" si="47">SUM(CT6:CT39)</f>
        <v>0</v>
      </c>
      <c r="CU40" s="9">
        <f t="shared" si="47"/>
        <v>0</v>
      </c>
      <c r="CV40" s="9">
        <f t="shared" si="47"/>
        <v>0</v>
      </c>
      <c r="CW40" s="9">
        <f t="shared" si="47"/>
        <v>0</v>
      </c>
      <c r="CX40" s="9">
        <f t="shared" si="47"/>
        <v>0</v>
      </c>
      <c r="CY40" s="9">
        <f t="shared" si="47"/>
        <v>0</v>
      </c>
      <c r="CZ40" s="9">
        <f t="shared" si="47"/>
        <v>0</v>
      </c>
      <c r="DA40" s="9">
        <f t="shared" si="47"/>
        <v>0</v>
      </c>
      <c r="DB40" s="9">
        <f t="shared" si="47"/>
        <v>0</v>
      </c>
      <c r="DC40" s="9">
        <f t="shared" si="47"/>
        <v>0</v>
      </c>
      <c r="DD40" s="9">
        <f t="shared" si="47"/>
        <v>0</v>
      </c>
      <c r="DE40" s="25">
        <f t="shared" si="11"/>
        <v>0</v>
      </c>
      <c r="DF40" s="9">
        <f>SUM(DF6:DF39)</f>
        <v>0</v>
      </c>
      <c r="DG40" s="9">
        <f t="shared" ref="DG40:DQ40" si="48">SUM(DG6:DG39)</f>
        <v>0</v>
      </c>
      <c r="DH40" s="9">
        <f t="shared" si="48"/>
        <v>0</v>
      </c>
      <c r="DI40" s="9">
        <f t="shared" si="48"/>
        <v>0</v>
      </c>
      <c r="DJ40" s="9">
        <f t="shared" si="48"/>
        <v>0</v>
      </c>
      <c r="DK40" s="9">
        <f t="shared" si="48"/>
        <v>0</v>
      </c>
      <c r="DL40" s="9">
        <f t="shared" si="48"/>
        <v>0</v>
      </c>
      <c r="DM40" s="9">
        <f t="shared" si="48"/>
        <v>0</v>
      </c>
      <c r="DN40" s="9">
        <f t="shared" si="48"/>
        <v>0</v>
      </c>
      <c r="DO40" s="9">
        <f t="shared" si="48"/>
        <v>0</v>
      </c>
      <c r="DP40" s="9">
        <f t="shared" si="48"/>
        <v>0</v>
      </c>
      <c r="DQ40" s="9">
        <f t="shared" si="48"/>
        <v>0</v>
      </c>
      <c r="DR40" s="25">
        <f t="shared" si="12"/>
        <v>0</v>
      </c>
      <c r="DS40" s="25">
        <f t="shared" si="13"/>
        <v>0</v>
      </c>
      <c r="DT40" s="9">
        <f>SUM(DT6:DT39)</f>
        <v>0</v>
      </c>
      <c r="DU40" s="9">
        <f t="shared" ref="DU40:EE40" si="49">SUM(DU6:DU39)</f>
        <v>0</v>
      </c>
      <c r="DV40" s="9">
        <f t="shared" si="49"/>
        <v>0</v>
      </c>
      <c r="DW40" s="9">
        <f t="shared" si="49"/>
        <v>0</v>
      </c>
      <c r="DX40" s="9">
        <f t="shared" si="49"/>
        <v>0</v>
      </c>
      <c r="DY40" s="9">
        <f t="shared" si="49"/>
        <v>0</v>
      </c>
      <c r="DZ40" s="9">
        <f t="shared" si="49"/>
        <v>0</v>
      </c>
      <c r="EA40" s="9">
        <f t="shared" si="49"/>
        <v>0</v>
      </c>
      <c r="EB40" s="9">
        <f t="shared" si="49"/>
        <v>0</v>
      </c>
      <c r="EC40" s="9">
        <f t="shared" si="49"/>
        <v>0</v>
      </c>
      <c r="ED40" s="9">
        <f t="shared" si="49"/>
        <v>0</v>
      </c>
      <c r="EE40" s="9">
        <f t="shared" si="49"/>
        <v>0</v>
      </c>
      <c r="EF40" s="25">
        <f t="shared" si="14"/>
        <v>0</v>
      </c>
      <c r="EG40" s="9">
        <f>SUM(EG6:EG39)</f>
        <v>0</v>
      </c>
      <c r="EH40" s="9">
        <f t="shared" ref="EH40:ER40" si="50">SUM(EH6:EH39)</f>
        <v>0</v>
      </c>
      <c r="EI40" s="9">
        <f t="shared" si="50"/>
        <v>0</v>
      </c>
      <c r="EJ40" s="9">
        <f t="shared" si="50"/>
        <v>0</v>
      </c>
      <c r="EK40" s="9">
        <f t="shared" si="50"/>
        <v>0</v>
      </c>
      <c r="EL40" s="9">
        <f t="shared" si="50"/>
        <v>0</v>
      </c>
      <c r="EM40" s="9">
        <f t="shared" si="50"/>
        <v>0</v>
      </c>
      <c r="EN40" s="9">
        <f t="shared" si="50"/>
        <v>0</v>
      </c>
      <c r="EO40" s="9">
        <f t="shared" si="50"/>
        <v>0</v>
      </c>
      <c r="EP40" s="9">
        <f t="shared" si="50"/>
        <v>0</v>
      </c>
      <c r="EQ40" s="9">
        <f t="shared" si="50"/>
        <v>0</v>
      </c>
      <c r="ER40" s="9">
        <f t="shared" si="50"/>
        <v>0</v>
      </c>
      <c r="ES40" s="25">
        <f t="shared" si="15"/>
        <v>0</v>
      </c>
      <c r="ET40" s="9">
        <f>SUM(ET6:ET39)</f>
        <v>0</v>
      </c>
      <c r="EU40" s="9">
        <f t="shared" ref="EU40:FE40" si="51">SUM(EU6:EU39)</f>
        <v>0</v>
      </c>
      <c r="EV40" s="9">
        <f t="shared" si="51"/>
        <v>0</v>
      </c>
      <c r="EW40" s="9">
        <f t="shared" si="51"/>
        <v>0</v>
      </c>
      <c r="EX40" s="9">
        <f t="shared" si="51"/>
        <v>0</v>
      </c>
      <c r="EY40" s="9">
        <f t="shared" si="51"/>
        <v>0</v>
      </c>
      <c r="EZ40" s="9">
        <f t="shared" si="51"/>
        <v>0</v>
      </c>
      <c r="FA40" s="9">
        <f t="shared" si="51"/>
        <v>0</v>
      </c>
      <c r="FB40" s="9">
        <f t="shared" si="51"/>
        <v>0</v>
      </c>
      <c r="FC40" s="9">
        <f t="shared" si="51"/>
        <v>0</v>
      </c>
      <c r="FD40" s="9">
        <f t="shared" si="51"/>
        <v>0</v>
      </c>
      <c r="FE40" s="9">
        <f t="shared" si="51"/>
        <v>0</v>
      </c>
      <c r="FF40" s="25">
        <f t="shared" si="16"/>
        <v>0</v>
      </c>
      <c r="FG40" s="25">
        <f t="shared" si="17"/>
        <v>0</v>
      </c>
      <c r="FH40" s="9">
        <f>SUM(FH6:FH39)</f>
        <v>0</v>
      </c>
      <c r="FI40" s="9">
        <f t="shared" ref="FI40:FS40" si="52">SUM(FI6:FI39)</f>
        <v>0</v>
      </c>
      <c r="FJ40" s="9">
        <f t="shared" si="52"/>
        <v>0</v>
      </c>
      <c r="FK40" s="9">
        <f t="shared" si="52"/>
        <v>0</v>
      </c>
      <c r="FL40" s="9">
        <f t="shared" si="52"/>
        <v>0</v>
      </c>
      <c r="FM40" s="9">
        <f t="shared" si="52"/>
        <v>0</v>
      </c>
      <c r="FN40" s="9">
        <f t="shared" si="52"/>
        <v>0</v>
      </c>
      <c r="FO40" s="9">
        <f t="shared" si="52"/>
        <v>0</v>
      </c>
      <c r="FP40" s="9">
        <f t="shared" si="52"/>
        <v>0</v>
      </c>
      <c r="FQ40" s="9">
        <f t="shared" si="52"/>
        <v>0</v>
      </c>
      <c r="FR40" s="9">
        <f t="shared" si="52"/>
        <v>0</v>
      </c>
      <c r="FS40" s="9">
        <f t="shared" si="52"/>
        <v>0</v>
      </c>
      <c r="FT40" s="25">
        <f t="shared" si="18"/>
        <v>0</v>
      </c>
      <c r="FU40" s="9">
        <f>SUM(FU6:FU39)</f>
        <v>0</v>
      </c>
      <c r="FV40" s="9">
        <f t="shared" ref="FV40:GF40" si="53">SUM(FV6:FV39)</f>
        <v>0</v>
      </c>
      <c r="FW40" s="9">
        <f t="shared" si="53"/>
        <v>0</v>
      </c>
      <c r="FX40" s="9">
        <f t="shared" si="53"/>
        <v>0</v>
      </c>
      <c r="FY40" s="9">
        <f t="shared" si="53"/>
        <v>0</v>
      </c>
      <c r="FZ40" s="9">
        <f t="shared" si="53"/>
        <v>0</v>
      </c>
      <c r="GA40" s="9">
        <f t="shared" si="53"/>
        <v>0</v>
      </c>
      <c r="GB40" s="9">
        <f t="shared" si="53"/>
        <v>0</v>
      </c>
      <c r="GC40" s="9">
        <f t="shared" si="53"/>
        <v>0</v>
      </c>
      <c r="GD40" s="9">
        <f t="shared" si="53"/>
        <v>0</v>
      </c>
      <c r="GE40" s="9">
        <f t="shared" si="53"/>
        <v>0</v>
      </c>
      <c r="GF40" s="9">
        <f t="shared" si="53"/>
        <v>0</v>
      </c>
      <c r="GG40" s="25">
        <f t="shared" si="19"/>
        <v>0</v>
      </c>
      <c r="GH40" s="9">
        <f>SUM(GH6:GH39)</f>
        <v>0</v>
      </c>
      <c r="GI40" s="9">
        <f t="shared" ref="GI40:GS40" si="54">SUM(GI6:GI39)</f>
        <v>0</v>
      </c>
      <c r="GJ40" s="9">
        <f t="shared" si="54"/>
        <v>0</v>
      </c>
      <c r="GK40" s="9">
        <f t="shared" si="54"/>
        <v>0</v>
      </c>
      <c r="GL40" s="9">
        <f t="shared" si="54"/>
        <v>0</v>
      </c>
      <c r="GM40" s="9">
        <f t="shared" si="54"/>
        <v>0</v>
      </c>
      <c r="GN40" s="9">
        <f t="shared" si="54"/>
        <v>0</v>
      </c>
      <c r="GO40" s="9">
        <f t="shared" si="54"/>
        <v>0</v>
      </c>
      <c r="GP40" s="9">
        <f t="shared" si="54"/>
        <v>0</v>
      </c>
      <c r="GQ40" s="9">
        <f t="shared" si="54"/>
        <v>0</v>
      </c>
      <c r="GR40" s="9">
        <f t="shared" si="54"/>
        <v>0</v>
      </c>
      <c r="GS40" s="9">
        <f t="shared" si="54"/>
        <v>0</v>
      </c>
      <c r="GT40" s="25">
        <f t="shared" si="20"/>
        <v>0</v>
      </c>
      <c r="GU40" s="25">
        <f t="shared" si="21"/>
        <v>0</v>
      </c>
      <c r="GV40" s="9">
        <f>SUM(GV6:GV39)</f>
        <v>0</v>
      </c>
      <c r="GW40" s="9">
        <f t="shared" ref="GW40:HG40" si="55">SUM(GW6:GW39)</f>
        <v>0</v>
      </c>
      <c r="GX40" s="9">
        <f t="shared" si="55"/>
        <v>0</v>
      </c>
      <c r="GY40" s="9">
        <f t="shared" si="55"/>
        <v>0</v>
      </c>
      <c r="GZ40" s="9">
        <f t="shared" si="55"/>
        <v>0</v>
      </c>
      <c r="HA40" s="9">
        <f t="shared" si="55"/>
        <v>0</v>
      </c>
      <c r="HB40" s="9">
        <f t="shared" si="55"/>
        <v>0</v>
      </c>
      <c r="HC40" s="9">
        <f t="shared" si="55"/>
        <v>0</v>
      </c>
      <c r="HD40" s="9">
        <f t="shared" si="55"/>
        <v>0</v>
      </c>
      <c r="HE40" s="9">
        <f t="shared" si="55"/>
        <v>0</v>
      </c>
      <c r="HF40" s="9">
        <f t="shared" si="55"/>
        <v>0</v>
      </c>
      <c r="HG40" s="9">
        <f t="shared" si="55"/>
        <v>0</v>
      </c>
      <c r="HH40" s="25">
        <f t="shared" si="22"/>
        <v>0</v>
      </c>
      <c r="HI40" s="9">
        <f>SUM(HI6:HI39)</f>
        <v>0</v>
      </c>
      <c r="HJ40" s="9">
        <f t="shared" ref="HJ40:HT40" si="56">SUM(HJ6:HJ39)</f>
        <v>0</v>
      </c>
      <c r="HK40" s="9">
        <f t="shared" si="56"/>
        <v>0</v>
      </c>
      <c r="HL40" s="9">
        <f t="shared" si="56"/>
        <v>0</v>
      </c>
      <c r="HM40" s="9">
        <f t="shared" si="56"/>
        <v>0</v>
      </c>
      <c r="HN40" s="9">
        <f t="shared" si="56"/>
        <v>0</v>
      </c>
      <c r="HO40" s="9">
        <f t="shared" si="56"/>
        <v>0</v>
      </c>
      <c r="HP40" s="9">
        <f t="shared" si="56"/>
        <v>0</v>
      </c>
      <c r="HQ40" s="9">
        <f t="shared" si="56"/>
        <v>0</v>
      </c>
      <c r="HR40" s="9">
        <f t="shared" si="56"/>
        <v>0</v>
      </c>
      <c r="HS40" s="9">
        <f t="shared" si="56"/>
        <v>0</v>
      </c>
      <c r="HT40" s="9">
        <f t="shared" si="56"/>
        <v>0</v>
      </c>
      <c r="HU40" s="25">
        <f t="shared" si="23"/>
        <v>0</v>
      </c>
      <c r="HV40" s="9">
        <f>SUM(HV6:HV39)</f>
        <v>0</v>
      </c>
      <c r="HW40" s="9">
        <f t="shared" ref="HW40:IG40" si="57">SUM(HW6:HW39)</f>
        <v>0</v>
      </c>
      <c r="HX40" s="9">
        <f t="shared" si="57"/>
        <v>0</v>
      </c>
      <c r="HY40" s="9">
        <f t="shared" si="57"/>
        <v>0</v>
      </c>
      <c r="HZ40" s="9">
        <f t="shared" si="57"/>
        <v>0</v>
      </c>
      <c r="IA40" s="9">
        <f t="shared" si="57"/>
        <v>0</v>
      </c>
      <c r="IB40" s="9">
        <f t="shared" si="57"/>
        <v>0</v>
      </c>
      <c r="IC40" s="9">
        <f t="shared" si="57"/>
        <v>0</v>
      </c>
      <c r="ID40" s="9">
        <f t="shared" si="57"/>
        <v>0</v>
      </c>
      <c r="IE40" s="9">
        <f t="shared" si="57"/>
        <v>0</v>
      </c>
      <c r="IF40" s="9">
        <f t="shared" si="57"/>
        <v>0</v>
      </c>
      <c r="IG40" s="9">
        <f t="shared" si="57"/>
        <v>0</v>
      </c>
      <c r="IH40" s="25">
        <f t="shared" si="24"/>
        <v>0</v>
      </c>
      <c r="II40" s="25">
        <f t="shared" si="25"/>
        <v>0</v>
      </c>
      <c r="IJ40" s="9">
        <f>SUM(IJ6:IJ39)</f>
        <v>0</v>
      </c>
      <c r="IK40" s="9">
        <f t="shared" ref="IK40:IU40" si="58">SUM(IK6:IK39)</f>
        <v>0</v>
      </c>
      <c r="IL40" s="9">
        <f t="shared" si="58"/>
        <v>0</v>
      </c>
      <c r="IM40" s="9">
        <f t="shared" si="58"/>
        <v>0</v>
      </c>
      <c r="IN40" s="9">
        <f t="shared" si="58"/>
        <v>0</v>
      </c>
      <c r="IO40" s="9">
        <f t="shared" si="58"/>
        <v>0</v>
      </c>
      <c r="IP40" s="9">
        <f t="shared" si="58"/>
        <v>0</v>
      </c>
      <c r="IQ40" s="9">
        <f t="shared" si="58"/>
        <v>0</v>
      </c>
      <c r="IR40" s="9">
        <f t="shared" si="58"/>
        <v>0</v>
      </c>
      <c r="IS40" s="9">
        <f t="shared" si="58"/>
        <v>0</v>
      </c>
      <c r="IT40" s="9">
        <f t="shared" si="58"/>
        <v>0</v>
      </c>
      <c r="IU40" s="9">
        <f t="shared" si="58"/>
        <v>0</v>
      </c>
      <c r="IV40" s="25">
        <f t="shared" si="26"/>
        <v>0</v>
      </c>
      <c r="IW40" s="9">
        <f>SUM(IW6:IW39)</f>
        <v>0</v>
      </c>
      <c r="IX40" s="9">
        <f t="shared" ref="IX40:JH40" si="59">SUM(IX6:IX39)</f>
        <v>0</v>
      </c>
      <c r="IY40" s="9">
        <f t="shared" si="59"/>
        <v>0</v>
      </c>
      <c r="IZ40" s="9">
        <f t="shared" si="59"/>
        <v>0</v>
      </c>
      <c r="JA40" s="9">
        <f t="shared" si="59"/>
        <v>0</v>
      </c>
      <c r="JB40" s="9">
        <f t="shared" si="59"/>
        <v>0</v>
      </c>
      <c r="JC40" s="9">
        <f t="shared" si="59"/>
        <v>0</v>
      </c>
      <c r="JD40" s="9">
        <f t="shared" si="59"/>
        <v>0</v>
      </c>
      <c r="JE40" s="9">
        <f t="shared" si="59"/>
        <v>0</v>
      </c>
      <c r="JF40" s="9">
        <f t="shared" si="59"/>
        <v>0</v>
      </c>
      <c r="JG40" s="9">
        <f t="shared" si="59"/>
        <v>0</v>
      </c>
      <c r="JH40" s="9">
        <f t="shared" si="59"/>
        <v>0</v>
      </c>
      <c r="JI40" s="25">
        <f t="shared" si="27"/>
        <v>0</v>
      </c>
      <c r="JJ40" s="9">
        <f>SUM(JJ6:JJ39)</f>
        <v>0</v>
      </c>
      <c r="JK40" s="9">
        <f t="shared" ref="JK40:JU40" si="60">SUM(JK6:JK39)</f>
        <v>0</v>
      </c>
      <c r="JL40" s="9">
        <f t="shared" si="60"/>
        <v>0</v>
      </c>
      <c r="JM40" s="9">
        <f t="shared" si="60"/>
        <v>0</v>
      </c>
      <c r="JN40" s="9">
        <f t="shared" si="60"/>
        <v>0</v>
      </c>
      <c r="JO40" s="9">
        <f t="shared" si="60"/>
        <v>0</v>
      </c>
      <c r="JP40" s="9">
        <f t="shared" si="60"/>
        <v>0</v>
      </c>
      <c r="JQ40" s="9">
        <f t="shared" si="60"/>
        <v>0</v>
      </c>
      <c r="JR40" s="9">
        <f t="shared" si="60"/>
        <v>0</v>
      </c>
      <c r="JS40" s="9">
        <f t="shared" si="60"/>
        <v>0</v>
      </c>
      <c r="JT40" s="9">
        <f t="shared" si="60"/>
        <v>0</v>
      </c>
      <c r="JU40" s="9">
        <f t="shared" si="60"/>
        <v>0</v>
      </c>
      <c r="JV40" s="25">
        <f t="shared" si="28"/>
        <v>0</v>
      </c>
      <c r="JW40" s="25">
        <f t="shared" si="29"/>
        <v>0</v>
      </c>
      <c r="JX40" s="9">
        <f>SUM(JX6:JX39)</f>
        <v>0</v>
      </c>
      <c r="JY40" s="9">
        <f t="shared" ref="JY40:KI40" si="61">SUM(JY6:JY39)</f>
        <v>0</v>
      </c>
      <c r="JZ40" s="9">
        <f t="shared" si="61"/>
        <v>0</v>
      </c>
      <c r="KA40" s="9">
        <f t="shared" si="61"/>
        <v>0</v>
      </c>
      <c r="KB40" s="9">
        <f t="shared" si="61"/>
        <v>0</v>
      </c>
      <c r="KC40" s="9">
        <f t="shared" si="61"/>
        <v>0</v>
      </c>
      <c r="KD40" s="9">
        <f t="shared" si="61"/>
        <v>0</v>
      </c>
      <c r="KE40" s="9">
        <f t="shared" si="61"/>
        <v>0</v>
      </c>
      <c r="KF40" s="9">
        <f t="shared" si="61"/>
        <v>0</v>
      </c>
      <c r="KG40" s="9">
        <f t="shared" si="61"/>
        <v>0</v>
      </c>
      <c r="KH40" s="9">
        <f t="shared" si="61"/>
        <v>0</v>
      </c>
      <c r="KI40" s="9">
        <f t="shared" si="61"/>
        <v>0</v>
      </c>
      <c r="KJ40" s="25">
        <f t="shared" si="30"/>
        <v>0</v>
      </c>
      <c r="KK40" s="9">
        <f>SUM(KK6:KK39)</f>
        <v>0</v>
      </c>
      <c r="KL40" s="9">
        <f t="shared" ref="KL40:KV40" si="62">SUM(KL6:KL39)</f>
        <v>0</v>
      </c>
      <c r="KM40" s="9">
        <f t="shared" si="62"/>
        <v>0</v>
      </c>
      <c r="KN40" s="9">
        <f t="shared" si="62"/>
        <v>0</v>
      </c>
      <c r="KO40" s="9">
        <f t="shared" si="62"/>
        <v>0</v>
      </c>
      <c r="KP40" s="9">
        <f t="shared" si="62"/>
        <v>0</v>
      </c>
      <c r="KQ40" s="9">
        <f t="shared" si="62"/>
        <v>0</v>
      </c>
      <c r="KR40" s="9">
        <f t="shared" si="62"/>
        <v>0</v>
      </c>
      <c r="KS40" s="9">
        <f t="shared" si="62"/>
        <v>0</v>
      </c>
      <c r="KT40" s="9">
        <f t="shared" si="62"/>
        <v>0</v>
      </c>
      <c r="KU40" s="9">
        <f t="shared" si="62"/>
        <v>0</v>
      </c>
      <c r="KV40" s="9">
        <f t="shared" si="62"/>
        <v>0</v>
      </c>
      <c r="KW40" s="25">
        <f t="shared" si="31"/>
        <v>0</v>
      </c>
      <c r="KX40" s="9">
        <f>SUM(KX6:KX39)</f>
        <v>0</v>
      </c>
      <c r="KY40" s="9">
        <f t="shared" ref="KY40:LI40" si="63">SUM(KY6:KY39)</f>
        <v>0</v>
      </c>
      <c r="KZ40" s="9">
        <f t="shared" si="63"/>
        <v>0</v>
      </c>
      <c r="LA40" s="9">
        <f t="shared" si="63"/>
        <v>0</v>
      </c>
      <c r="LB40" s="9">
        <f t="shared" si="63"/>
        <v>0</v>
      </c>
      <c r="LC40" s="9">
        <f t="shared" si="63"/>
        <v>0</v>
      </c>
      <c r="LD40" s="9">
        <f t="shared" si="63"/>
        <v>0</v>
      </c>
      <c r="LE40" s="9">
        <f t="shared" si="63"/>
        <v>0</v>
      </c>
      <c r="LF40" s="9">
        <f t="shared" si="63"/>
        <v>0</v>
      </c>
      <c r="LG40" s="9">
        <f t="shared" si="63"/>
        <v>0</v>
      </c>
      <c r="LH40" s="9">
        <f t="shared" si="63"/>
        <v>0</v>
      </c>
      <c r="LI40" s="9">
        <f t="shared" si="63"/>
        <v>0</v>
      </c>
      <c r="LJ40" s="25">
        <f t="shared" si="32"/>
        <v>0</v>
      </c>
      <c r="LK40" s="25">
        <f t="shared" si="33"/>
        <v>0</v>
      </c>
      <c r="LL40" s="9">
        <f>SUM(LL6:LL39)</f>
        <v>0</v>
      </c>
      <c r="LM40" s="9">
        <f t="shared" ref="LM40:LW40" si="64">SUM(LM6:LM39)</f>
        <v>0</v>
      </c>
      <c r="LN40" s="9">
        <f t="shared" si="64"/>
        <v>0</v>
      </c>
      <c r="LO40" s="9">
        <f t="shared" si="64"/>
        <v>0</v>
      </c>
      <c r="LP40" s="9">
        <f t="shared" si="64"/>
        <v>0</v>
      </c>
      <c r="LQ40" s="9">
        <f t="shared" si="64"/>
        <v>0</v>
      </c>
      <c r="LR40" s="9">
        <f t="shared" si="64"/>
        <v>0</v>
      </c>
      <c r="LS40" s="9">
        <f t="shared" si="64"/>
        <v>0</v>
      </c>
      <c r="LT40" s="9">
        <f t="shared" si="64"/>
        <v>0</v>
      </c>
      <c r="LU40" s="9">
        <f t="shared" si="64"/>
        <v>0</v>
      </c>
      <c r="LV40" s="9">
        <f t="shared" si="64"/>
        <v>0</v>
      </c>
      <c r="LW40" s="9">
        <f t="shared" si="64"/>
        <v>0</v>
      </c>
      <c r="LX40" s="25">
        <f t="shared" si="34"/>
        <v>0</v>
      </c>
      <c r="LY40" s="9">
        <f>SUM(LY6:LY39)</f>
        <v>0</v>
      </c>
      <c r="LZ40" s="9">
        <f t="shared" ref="LZ40:MJ40" si="65">SUM(LZ6:LZ39)</f>
        <v>0</v>
      </c>
      <c r="MA40" s="9">
        <f t="shared" si="65"/>
        <v>0</v>
      </c>
      <c r="MB40" s="9">
        <f t="shared" si="65"/>
        <v>0</v>
      </c>
      <c r="MC40" s="9">
        <f t="shared" si="65"/>
        <v>0</v>
      </c>
      <c r="MD40" s="9">
        <f t="shared" si="65"/>
        <v>0</v>
      </c>
      <c r="ME40" s="9">
        <f t="shared" si="65"/>
        <v>0</v>
      </c>
      <c r="MF40" s="9">
        <f t="shared" si="65"/>
        <v>0</v>
      </c>
      <c r="MG40" s="9">
        <f t="shared" si="65"/>
        <v>0</v>
      </c>
      <c r="MH40" s="9">
        <f t="shared" si="65"/>
        <v>0</v>
      </c>
      <c r="MI40" s="9">
        <f t="shared" si="65"/>
        <v>0</v>
      </c>
      <c r="MJ40" s="9">
        <f t="shared" si="65"/>
        <v>0</v>
      </c>
      <c r="MK40" s="25">
        <f t="shared" si="35"/>
        <v>0</v>
      </c>
      <c r="ML40" s="9">
        <f>SUM(ML6:ML39)</f>
        <v>0</v>
      </c>
      <c r="MM40" s="9">
        <f t="shared" ref="MM40:MW40" si="66">SUM(MM6:MM39)</f>
        <v>0</v>
      </c>
      <c r="MN40" s="9">
        <f t="shared" si="66"/>
        <v>0</v>
      </c>
      <c r="MO40" s="9">
        <f t="shared" si="66"/>
        <v>0</v>
      </c>
      <c r="MP40" s="9">
        <f t="shared" si="66"/>
        <v>0</v>
      </c>
      <c r="MQ40" s="9">
        <f t="shared" si="66"/>
        <v>0</v>
      </c>
      <c r="MR40" s="9">
        <f t="shared" si="66"/>
        <v>0</v>
      </c>
      <c r="MS40" s="9">
        <f t="shared" si="66"/>
        <v>0</v>
      </c>
      <c r="MT40" s="9">
        <f t="shared" si="66"/>
        <v>0</v>
      </c>
      <c r="MU40" s="9">
        <f t="shared" si="66"/>
        <v>0</v>
      </c>
      <c r="MV40" s="9">
        <f t="shared" si="66"/>
        <v>0</v>
      </c>
      <c r="MW40" s="9">
        <f t="shared" si="66"/>
        <v>0</v>
      </c>
      <c r="MX40" s="25">
        <f t="shared" si="36"/>
        <v>0</v>
      </c>
      <c r="MY40" s="25">
        <f t="shared" si="37"/>
        <v>0</v>
      </c>
      <c r="MZ40" s="9">
        <f>SUM(MZ6:MZ39)</f>
        <v>0</v>
      </c>
      <c r="NA40" s="9">
        <f t="shared" ref="NA40:NK40" si="67">SUM(NA6:NA39)</f>
        <v>0</v>
      </c>
      <c r="NB40" s="9">
        <f t="shared" si="67"/>
        <v>0</v>
      </c>
      <c r="NC40" s="9">
        <f t="shared" si="67"/>
        <v>0</v>
      </c>
      <c r="ND40" s="9">
        <f t="shared" si="67"/>
        <v>0</v>
      </c>
      <c r="NE40" s="9">
        <f t="shared" si="67"/>
        <v>0</v>
      </c>
      <c r="NF40" s="9">
        <f t="shared" si="67"/>
        <v>0</v>
      </c>
      <c r="NG40" s="9">
        <f t="shared" si="67"/>
        <v>0</v>
      </c>
      <c r="NH40" s="9">
        <f t="shared" si="67"/>
        <v>0</v>
      </c>
      <c r="NI40" s="9">
        <f t="shared" si="67"/>
        <v>173058.06</v>
      </c>
      <c r="NJ40" s="9">
        <f t="shared" si="67"/>
        <v>5600</v>
      </c>
      <c r="NK40" s="9">
        <f t="shared" si="67"/>
        <v>5600</v>
      </c>
      <c r="NL40" s="25">
        <f t="shared" si="39"/>
        <v>184258.06</v>
      </c>
      <c r="NM40" s="26">
        <f>+AQ40+CE40+DS40+FG40+GU40+II40+JW40+LK40+MY40+NL40</f>
        <v>2381856.5100000002</v>
      </c>
    </row>
    <row r="41" spans="1:377" ht="21.75" thickTop="1" x14ac:dyDescent="0.35"/>
    <row r="42" spans="1:377" hidden="1" x14ac:dyDescent="0.35">
      <c r="A42" s="1" t="s">
        <v>301</v>
      </c>
    </row>
    <row r="43" spans="1:377" hidden="1" x14ac:dyDescent="0.35">
      <c r="A43" s="71" t="s">
        <v>297</v>
      </c>
      <c r="J43" s="1">
        <f>20160+31500+31500</f>
        <v>83160</v>
      </c>
      <c r="M43" s="1">
        <v>28350</v>
      </c>
      <c r="W43" s="1">
        <f>750+750</f>
        <v>1500</v>
      </c>
      <c r="Z43" s="1">
        <v>750</v>
      </c>
      <c r="AJ43" s="1">
        <v>468</v>
      </c>
      <c r="NI43" s="1">
        <v>167458.06</v>
      </c>
    </row>
    <row r="44" spans="1:377" hidden="1" x14ac:dyDescent="0.35">
      <c r="A44" s="1" t="s">
        <v>302</v>
      </c>
    </row>
    <row r="45" spans="1:377" hidden="1" x14ac:dyDescent="0.35">
      <c r="A45" s="1" t="s">
        <v>298</v>
      </c>
    </row>
    <row r="46" spans="1:377" hidden="1" x14ac:dyDescent="0.35">
      <c r="A46" s="53" t="s">
        <v>115</v>
      </c>
    </row>
    <row r="47" spans="1:377" hidden="1" x14ac:dyDescent="0.35"/>
    <row r="48" spans="1:377" hidden="1" x14ac:dyDescent="0.35"/>
    <row r="49" hidden="1" x14ac:dyDescent="0.35"/>
  </sheetData>
  <mergeCells count="51">
    <mergeCell ref="MZ4:NL4"/>
    <mergeCell ref="KX4:LJ4"/>
    <mergeCell ref="LK4:LK5"/>
    <mergeCell ref="LL4:LX4"/>
    <mergeCell ref="LY4:MK4"/>
    <mergeCell ref="ML4:MX4"/>
    <mergeCell ref="MY4:MY5"/>
    <mergeCell ref="KK4:KW4"/>
    <mergeCell ref="GH4:GT4"/>
    <mergeCell ref="GU4:GU5"/>
    <mergeCell ref="GV4:HH4"/>
    <mergeCell ref="HI4:HU4"/>
    <mergeCell ref="HV4:IH4"/>
    <mergeCell ref="II4:II5"/>
    <mergeCell ref="IJ4:IV4"/>
    <mergeCell ref="IW4:JI4"/>
    <mergeCell ref="JJ4:JV4"/>
    <mergeCell ref="JW4:JW5"/>
    <mergeCell ref="JX4:KJ4"/>
    <mergeCell ref="MZ3:NL3"/>
    <mergeCell ref="NM3:NM4"/>
    <mergeCell ref="D4:P4"/>
    <mergeCell ref="Q4:AC4"/>
    <mergeCell ref="AD4:AP4"/>
    <mergeCell ref="AQ4:AQ5"/>
    <mergeCell ref="AR4:BD4"/>
    <mergeCell ref="BE4:BQ4"/>
    <mergeCell ref="BR4:CD4"/>
    <mergeCell ref="CE4:CE5"/>
    <mergeCell ref="DT3:FG3"/>
    <mergeCell ref="FH3:GU3"/>
    <mergeCell ref="GV3:II3"/>
    <mergeCell ref="IJ3:JW3"/>
    <mergeCell ref="JX3:LK3"/>
    <mergeCell ref="DT4:EF4"/>
    <mergeCell ref="LL3:MY3"/>
    <mergeCell ref="A1:F1"/>
    <mergeCell ref="A3:A4"/>
    <mergeCell ref="B3:B4"/>
    <mergeCell ref="D3:AQ3"/>
    <mergeCell ref="AR3:CE3"/>
    <mergeCell ref="CF3:DS3"/>
    <mergeCell ref="CF4:CR4"/>
    <mergeCell ref="CS4:DE4"/>
    <mergeCell ref="DF4:DR4"/>
    <mergeCell ref="DS4:DS5"/>
    <mergeCell ref="FU4:GG4"/>
    <mergeCell ref="EG4:ES4"/>
    <mergeCell ref="ET4:FF4"/>
    <mergeCell ref="FG4:FG5"/>
    <mergeCell ref="FH4:FT4"/>
  </mergeCells>
  <pageMargins left="0.7" right="0.7" top="0.75" bottom="0.75" header="0.3" footer="0.3"/>
  <pageSetup paperSize="9" scale="65" orientation="landscape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C50"/>
  <sheetViews>
    <sheetView showGridLines="0" zoomScale="70" zoomScaleNormal="70" workbookViewId="0">
      <pane xSplit="3" ySplit="6" topLeftCell="ADW34" activePane="bottomRight" state="frozen"/>
      <selection pane="topRight" activeCell="D1" sqref="D1"/>
      <selection pane="bottomLeft" activeCell="A7" sqref="A7"/>
      <selection pane="bottomRight" activeCell="A42" sqref="A42:XFD50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2.375" style="3" hidden="1" customWidth="1"/>
    <col min="7" max="15" width="12.375" style="1" hidden="1" customWidth="1"/>
    <col min="16" max="16" width="12.375" style="1" bestFit="1" customWidth="1"/>
    <col min="17" max="18" width="9.25" style="1" hidden="1" customWidth="1"/>
    <col min="19" max="19" width="12.125" style="1" hidden="1" customWidth="1"/>
    <col min="20" max="20" width="9.25" style="1" hidden="1" customWidth="1"/>
    <col min="21" max="21" width="9.75" style="1" hidden="1" customWidth="1"/>
    <col min="22" max="28" width="9.25" style="1" hidden="1" customWidth="1"/>
    <col min="29" max="29" width="10.125" style="1" bestFit="1" customWidth="1"/>
    <col min="30" max="30" width="7.375" style="1" hidden="1" customWidth="1"/>
    <col min="31" max="31" width="7.875" style="1" hidden="1" customWidth="1"/>
    <col min="32" max="33" width="7.375" style="1" hidden="1" customWidth="1"/>
    <col min="34" max="34" width="7.875" style="1" hidden="1" customWidth="1"/>
    <col min="35" max="35" width="7.375" style="1" hidden="1" customWidth="1"/>
    <col min="36" max="36" width="8.125" style="1" hidden="1" customWidth="1"/>
    <col min="37" max="37" width="7.875" style="1" hidden="1" customWidth="1"/>
    <col min="38" max="41" width="7.375" style="1" hidden="1" customWidth="1"/>
    <col min="42" max="42" width="9.875" style="1" bestFit="1" customWidth="1"/>
    <col min="43" max="43" width="12.375" style="1" bestFit="1" customWidth="1"/>
    <col min="44" max="47" width="13.875" style="1" hidden="1" customWidth="1"/>
    <col min="48" max="49" width="12.375" style="1" hidden="1" customWidth="1"/>
    <col min="50" max="50" width="13.875" style="1" hidden="1" customWidth="1"/>
    <col min="51" max="54" width="12.375" style="1" hidden="1" customWidth="1"/>
    <col min="55" max="55" width="13.875" style="1" hidden="1" customWidth="1"/>
    <col min="56" max="56" width="14.125" style="1" bestFit="1" customWidth="1"/>
    <col min="57" max="68" width="11.125" style="1" hidden="1" customWidth="1"/>
    <col min="69" max="69" width="11.25" style="1" bestFit="1" customWidth="1"/>
    <col min="70" max="81" width="11.125" style="1" hidden="1" customWidth="1"/>
    <col min="82" max="82" width="11.25" style="1" bestFit="1" customWidth="1"/>
    <col min="83" max="83" width="14.125" style="1" bestFit="1" customWidth="1"/>
    <col min="84" max="88" width="13.875" style="1" hidden="1" customWidth="1"/>
    <col min="89" max="89" width="12.375" style="1" hidden="1" customWidth="1"/>
    <col min="90" max="90" width="13.875" style="1" hidden="1" customWidth="1"/>
    <col min="91" max="93" width="12.375" style="1" hidden="1" customWidth="1"/>
    <col min="94" max="95" width="13.875" style="1" hidden="1" customWidth="1"/>
    <col min="96" max="96" width="14.125" style="1" bestFit="1" customWidth="1"/>
    <col min="97" max="108" width="11.125" style="1" hidden="1" customWidth="1"/>
    <col min="109" max="109" width="11.25" style="1" bestFit="1" customWidth="1"/>
    <col min="110" max="121" width="11.125" style="1" hidden="1" customWidth="1"/>
    <col min="122" max="122" width="11.25" style="1" bestFit="1" customWidth="1"/>
    <col min="123" max="123" width="14.125" style="1" bestFit="1" customWidth="1"/>
    <col min="124" max="133" width="12.375" style="1" hidden="1" customWidth="1"/>
    <col min="134" max="134" width="13.875" style="1" hidden="1" customWidth="1"/>
    <col min="135" max="135" width="12.375" style="1" hidden="1" customWidth="1"/>
    <col min="136" max="136" width="12.375" style="1" bestFit="1" customWidth="1"/>
    <col min="137" max="148" width="11.125" style="1" hidden="1" customWidth="1"/>
    <col min="149" max="149" width="11.25" style="1" bestFit="1" customWidth="1"/>
    <col min="150" max="161" width="11.125" style="1" hidden="1" customWidth="1"/>
    <col min="162" max="162" width="11.25" style="1" bestFit="1" customWidth="1"/>
    <col min="163" max="163" width="14.125" style="1" bestFit="1" customWidth="1"/>
    <col min="164" max="175" width="13.875" style="1" hidden="1" customWidth="1"/>
    <col min="176" max="176" width="14.125" style="1" bestFit="1" customWidth="1"/>
    <col min="177" max="188" width="12.375" style="1" hidden="1" customWidth="1"/>
    <col min="189" max="189" width="12.375" style="1" bestFit="1" customWidth="1"/>
    <col min="190" max="195" width="11.125" style="1" hidden="1" customWidth="1"/>
    <col min="196" max="196" width="12.375" style="1" hidden="1" customWidth="1"/>
    <col min="197" max="201" width="11.125" style="1" hidden="1" customWidth="1"/>
    <col min="202" max="202" width="12.375" style="1" bestFit="1" customWidth="1"/>
    <col min="203" max="203" width="14.125" style="1" bestFit="1" customWidth="1"/>
    <col min="204" max="215" width="13.875" style="1" hidden="1" customWidth="1"/>
    <col min="216" max="216" width="14.125" style="1" bestFit="1" customWidth="1"/>
    <col min="217" max="226" width="11.125" style="1" hidden="1" customWidth="1"/>
    <col min="227" max="227" width="12.375" style="1" hidden="1" customWidth="1"/>
    <col min="228" max="228" width="11.125" style="1" hidden="1" customWidth="1"/>
    <col min="229" max="229" width="12.375" style="1" bestFit="1" customWidth="1"/>
    <col min="230" max="241" width="11.125" style="1" hidden="1" customWidth="1"/>
    <col min="242" max="242" width="11.25" style="1" bestFit="1" customWidth="1"/>
    <col min="243" max="243" width="14.125" style="1" bestFit="1" customWidth="1"/>
    <col min="244" max="255" width="13.875" style="1" hidden="1" customWidth="1"/>
    <col min="256" max="256" width="14.125" style="1" bestFit="1" customWidth="1"/>
    <col min="257" max="268" width="11.125" style="1" hidden="1" customWidth="1"/>
    <col min="269" max="269" width="11.25" style="1" bestFit="1" customWidth="1"/>
    <col min="270" max="281" width="11.125" style="1" hidden="1" customWidth="1"/>
    <col min="282" max="282" width="11.25" style="1" bestFit="1" customWidth="1"/>
    <col min="283" max="283" width="14.125" style="1" bestFit="1" customWidth="1"/>
    <col min="284" max="295" width="12.375" style="1" hidden="1" customWidth="1"/>
    <col min="296" max="296" width="12.375" style="1" bestFit="1" customWidth="1"/>
    <col min="297" max="308" width="9.25" style="1" hidden="1" customWidth="1"/>
    <col min="309" max="309" width="10.125" style="1" bestFit="1" customWidth="1"/>
    <col min="310" max="321" width="9.25" style="1" hidden="1" customWidth="1"/>
    <col min="322" max="322" width="10.125" style="1" bestFit="1" customWidth="1"/>
    <col min="323" max="323" width="12.375" style="1" bestFit="1" customWidth="1"/>
    <col min="324" max="329" width="12.375" style="1" hidden="1" customWidth="1"/>
    <col min="330" max="330" width="13.875" style="1" hidden="1" customWidth="1"/>
    <col min="331" max="335" width="12.375" style="1" hidden="1" customWidth="1"/>
    <col min="336" max="336" width="14.125" style="1" bestFit="1" customWidth="1"/>
    <col min="337" max="348" width="11.125" style="1" hidden="1" customWidth="1"/>
    <col min="349" max="349" width="11.25" style="1" bestFit="1" customWidth="1"/>
    <col min="350" max="361" width="11.125" style="1" hidden="1" customWidth="1"/>
    <col min="362" max="362" width="11.25" style="1" bestFit="1" customWidth="1"/>
    <col min="363" max="363" width="14.125" style="1" bestFit="1" customWidth="1"/>
    <col min="364" max="375" width="13.875" style="1" hidden="1" customWidth="1"/>
    <col min="376" max="376" width="14.125" style="1" bestFit="1" customWidth="1"/>
    <col min="377" max="388" width="11.125" style="1" hidden="1" customWidth="1"/>
    <col min="389" max="389" width="11.25" style="1" bestFit="1" customWidth="1"/>
    <col min="390" max="401" width="11.125" style="1" hidden="1" customWidth="1"/>
    <col min="402" max="402" width="11.25" style="1" bestFit="1" customWidth="1"/>
    <col min="403" max="403" width="14.125" style="1" bestFit="1" customWidth="1"/>
    <col min="404" max="415" width="13.875" style="1" hidden="1" customWidth="1"/>
    <col min="416" max="416" width="14.125" style="1" bestFit="1" customWidth="1"/>
    <col min="417" max="428" width="11.125" style="1" hidden="1" customWidth="1"/>
    <col min="429" max="429" width="11.25" style="1" bestFit="1" customWidth="1"/>
    <col min="430" max="441" width="11.125" style="1" hidden="1" customWidth="1"/>
    <col min="442" max="442" width="11.25" style="1" bestFit="1" customWidth="1"/>
    <col min="443" max="443" width="14.125" style="1" bestFit="1" customWidth="1"/>
    <col min="444" max="455" width="13.875" style="1" hidden="1" customWidth="1"/>
    <col min="456" max="456" width="14.125" style="1" bestFit="1" customWidth="1"/>
    <col min="457" max="468" width="12.375" style="1" hidden="1" customWidth="1"/>
    <col min="469" max="469" width="12.375" style="1" bestFit="1" customWidth="1"/>
    <col min="470" max="481" width="11.125" style="1" hidden="1" customWidth="1"/>
    <col min="482" max="482" width="11.25" style="1" bestFit="1" customWidth="1"/>
    <col min="483" max="483" width="14.125" style="1" bestFit="1" customWidth="1"/>
    <col min="484" max="489" width="12.375" style="1" hidden="1" customWidth="1"/>
    <col min="490" max="490" width="13.875" style="1" hidden="1" customWidth="1"/>
    <col min="491" max="495" width="12.375" style="1" hidden="1" customWidth="1"/>
    <col min="496" max="496" width="14.125" style="1" bestFit="1" customWidth="1"/>
    <col min="497" max="508" width="11.125" style="1" hidden="1" customWidth="1"/>
    <col min="509" max="509" width="11.25" style="1" bestFit="1" customWidth="1"/>
    <col min="510" max="521" width="11.125" style="1" hidden="1" customWidth="1"/>
    <col min="522" max="522" width="11.25" style="1" bestFit="1" customWidth="1"/>
    <col min="523" max="523" width="14.125" style="1" bestFit="1" customWidth="1"/>
    <col min="524" max="535" width="13.875" style="1" hidden="1" customWidth="1"/>
    <col min="536" max="536" width="14.125" style="1" bestFit="1" customWidth="1"/>
    <col min="537" max="548" width="12.375" style="1" hidden="1" customWidth="1"/>
    <col min="549" max="549" width="12.375" style="1" bestFit="1" customWidth="1"/>
    <col min="550" max="561" width="11.125" style="1" hidden="1" customWidth="1"/>
    <col min="562" max="562" width="11.25" style="1" bestFit="1" customWidth="1"/>
    <col min="563" max="563" width="14.125" style="1" bestFit="1" customWidth="1"/>
    <col min="564" max="575" width="12.375" style="1" hidden="1" customWidth="1"/>
    <col min="576" max="576" width="12.375" style="1" bestFit="1" customWidth="1"/>
    <col min="577" max="588" width="11.125" style="1" hidden="1" customWidth="1"/>
    <col min="589" max="589" width="11.25" style="1" bestFit="1" customWidth="1"/>
    <col min="590" max="601" width="9.25" style="1" hidden="1" customWidth="1"/>
    <col min="602" max="602" width="10.125" style="1" bestFit="1" customWidth="1"/>
    <col min="603" max="603" width="12.375" style="1" bestFit="1" customWidth="1"/>
    <col min="604" max="615" width="12.375" style="1" hidden="1" customWidth="1"/>
    <col min="616" max="616" width="12.375" style="1" bestFit="1" customWidth="1"/>
    <col min="617" max="628" width="11.125" style="1" hidden="1" customWidth="1"/>
    <col min="629" max="629" width="11.25" style="1" bestFit="1" customWidth="1"/>
    <col min="630" max="641" width="9.25" style="1" hidden="1" customWidth="1"/>
    <col min="642" max="642" width="10.125" style="1" bestFit="1" customWidth="1"/>
    <col min="643" max="643" width="12.375" style="1" bestFit="1" customWidth="1"/>
    <col min="644" max="655" width="12.375" style="1" hidden="1" customWidth="1"/>
    <col min="656" max="656" width="12.375" style="1" bestFit="1" customWidth="1"/>
    <col min="657" max="668" width="11.125" style="1" hidden="1" customWidth="1"/>
    <col min="669" max="669" width="11.25" style="1" bestFit="1" customWidth="1"/>
    <col min="670" max="681" width="9.25" style="1" hidden="1" customWidth="1"/>
    <col min="682" max="682" width="10.125" style="1" bestFit="1" customWidth="1"/>
    <col min="683" max="683" width="12.375" style="1" bestFit="1" customWidth="1"/>
    <col min="684" max="695" width="12.375" style="1" hidden="1" customWidth="1"/>
    <col min="696" max="696" width="12.375" style="1" bestFit="1" customWidth="1"/>
    <col min="697" max="708" width="11.125" style="1" hidden="1" customWidth="1"/>
    <col min="709" max="709" width="11.25" style="1" bestFit="1" customWidth="1"/>
    <col min="710" max="721" width="11.125" style="1" hidden="1" customWidth="1"/>
    <col min="722" max="722" width="11.25" style="1" bestFit="1" customWidth="1"/>
    <col min="723" max="723" width="12.375" style="1" bestFit="1" customWidth="1"/>
    <col min="724" max="729" width="12.375" style="1" hidden="1" customWidth="1"/>
    <col min="730" max="730" width="13.875" style="1" hidden="1" customWidth="1"/>
    <col min="731" max="735" width="12.375" style="1" hidden="1" customWidth="1"/>
    <col min="736" max="736" width="12.375" style="1" bestFit="1" customWidth="1"/>
    <col min="737" max="748" width="11.125" style="1" hidden="1" customWidth="1"/>
    <col min="749" max="749" width="11.25" style="1" bestFit="1" customWidth="1"/>
    <col min="750" max="761" width="11.125" style="1" hidden="1" customWidth="1"/>
    <col min="762" max="762" width="11.25" style="1" bestFit="1" customWidth="1"/>
    <col min="763" max="763" width="14.125" style="1" bestFit="1" customWidth="1"/>
    <col min="764" max="775" width="13.875" style="1" hidden="1" customWidth="1"/>
    <col min="776" max="776" width="14.125" style="1" bestFit="1" customWidth="1"/>
    <col min="777" max="788" width="11.125" style="1" hidden="1" customWidth="1"/>
    <col min="789" max="789" width="11.25" style="1" bestFit="1" customWidth="1"/>
    <col min="790" max="801" width="11.125" style="1" hidden="1" customWidth="1"/>
    <col min="802" max="802" width="11.25" style="1" bestFit="1" customWidth="1"/>
    <col min="803" max="803" width="14.125" style="1" bestFit="1" customWidth="1"/>
    <col min="804" max="815" width="12.375" style="1" hidden="1" customWidth="1"/>
    <col min="816" max="816" width="12.375" style="1" bestFit="1" customWidth="1"/>
    <col min="817" max="820" width="11.125" style="1" hidden="1" customWidth="1"/>
    <col min="821" max="821" width="9.25" style="1" hidden="1" customWidth="1"/>
    <col min="822" max="828" width="11.125" style="1" hidden="1" customWidth="1"/>
    <col min="829" max="829" width="11.25" style="1" bestFit="1" customWidth="1"/>
    <col min="830" max="833" width="9.25" style="1" hidden="1" customWidth="1"/>
    <col min="834" max="834" width="8.125" style="1" hidden="1" customWidth="1"/>
    <col min="835" max="840" width="9.25" style="1" hidden="1" customWidth="1"/>
    <col min="841" max="841" width="11.125" style="1" hidden="1" customWidth="1"/>
    <col min="842" max="842" width="10.125" style="1" bestFit="1" customWidth="1"/>
    <col min="843" max="843" width="12.375" style="1" bestFit="1" customWidth="1"/>
    <col min="844" max="855" width="13.875" style="1" hidden="1" customWidth="1"/>
    <col min="856" max="856" width="14.125" style="1" bestFit="1" customWidth="1"/>
    <col min="857" max="868" width="11.125" style="1" hidden="1" customWidth="1"/>
    <col min="869" max="869" width="11.25" style="1" bestFit="1" customWidth="1"/>
    <col min="870" max="881" width="11.125" style="1" hidden="1" customWidth="1"/>
    <col min="882" max="882" width="11.25" style="1" bestFit="1" customWidth="1"/>
    <col min="883" max="883" width="14.125" style="1" bestFit="1" customWidth="1"/>
    <col min="884" max="895" width="9" style="1" hidden="1" customWidth="1"/>
    <col min="896" max="896" width="9" style="1" customWidth="1"/>
    <col min="897" max="908" width="9" style="1" hidden="1" customWidth="1"/>
    <col min="909" max="909" width="9" style="1" customWidth="1"/>
    <col min="910" max="921" width="9" style="1" hidden="1" customWidth="1"/>
    <col min="922" max="923" width="9" style="1" customWidth="1"/>
    <col min="924" max="935" width="9" style="1" hidden="1" customWidth="1"/>
    <col min="936" max="936" width="9" style="1" customWidth="1"/>
    <col min="937" max="948" width="9" style="1" hidden="1" customWidth="1"/>
    <col min="949" max="949" width="9" style="1" customWidth="1"/>
    <col min="950" max="961" width="9" style="1" hidden="1" customWidth="1"/>
    <col min="962" max="963" width="9" style="1" customWidth="1"/>
    <col min="964" max="964" width="15.25" style="1" bestFit="1" customWidth="1"/>
    <col min="965" max="965" width="14.75" style="3" bestFit="1" customWidth="1"/>
    <col min="966" max="16384" width="9" style="1"/>
  </cols>
  <sheetData>
    <row r="1" spans="1:965" x14ac:dyDescent="0.35">
      <c r="A1" s="97" t="s">
        <v>64</v>
      </c>
      <c r="B1" s="98"/>
      <c r="C1" s="98"/>
      <c r="D1" s="98"/>
      <c r="E1" s="98"/>
      <c r="F1" s="98"/>
    </row>
    <row r="2" spans="1:965" s="12" customFormat="1" x14ac:dyDescent="0.35">
      <c r="A2" s="23"/>
      <c r="B2" s="23"/>
      <c r="C2" s="23"/>
      <c r="D2" s="23"/>
      <c r="E2" s="23"/>
      <c r="F2" s="23"/>
      <c r="AKC2" s="67"/>
    </row>
    <row r="3" spans="1:965" s="2" customFormat="1" x14ac:dyDescent="0.35">
      <c r="A3" s="92" t="s">
        <v>0</v>
      </c>
      <c r="B3" s="92" t="s">
        <v>14</v>
      </c>
      <c r="C3" s="20"/>
      <c r="D3" s="89" t="s">
        <v>65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 t="s">
        <v>66</v>
      </c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1"/>
      <c r="CF3" s="89" t="s">
        <v>68</v>
      </c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1"/>
      <c r="DT3" s="89" t="s">
        <v>69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1"/>
      <c r="FH3" s="89" t="s">
        <v>67</v>
      </c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1"/>
      <c r="GV3" s="89" t="s">
        <v>70</v>
      </c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1"/>
      <c r="IJ3" s="89" t="s">
        <v>71</v>
      </c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1"/>
      <c r="JX3" s="89" t="s">
        <v>72</v>
      </c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1"/>
      <c r="LL3" s="89" t="s">
        <v>73</v>
      </c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1"/>
      <c r="MZ3" s="89" t="s">
        <v>74</v>
      </c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1"/>
      <c r="ON3" s="89" t="s">
        <v>75</v>
      </c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1"/>
      <c r="QB3" s="89" t="s">
        <v>76</v>
      </c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1"/>
      <c r="RP3" s="89" t="s">
        <v>77</v>
      </c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1"/>
      <c r="TD3" s="89" t="s">
        <v>78</v>
      </c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1"/>
      <c r="UR3" s="89" t="s">
        <v>79</v>
      </c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0"/>
      <c r="VE3" s="90"/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0"/>
      <c r="VR3" s="90"/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0"/>
      <c r="WE3" s="91"/>
      <c r="WF3" s="89" t="s">
        <v>80</v>
      </c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0"/>
      <c r="WR3" s="90"/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0"/>
      <c r="XE3" s="90"/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0"/>
      <c r="XR3" s="90"/>
      <c r="XS3" s="91"/>
      <c r="XT3" s="89" t="s">
        <v>81</v>
      </c>
      <c r="XU3" s="90"/>
      <c r="XV3" s="90"/>
      <c r="XW3" s="90"/>
      <c r="XX3" s="90"/>
      <c r="XY3" s="90"/>
      <c r="XZ3" s="90"/>
      <c r="YA3" s="90"/>
      <c r="YB3" s="90"/>
      <c r="YC3" s="90"/>
      <c r="YD3" s="90"/>
      <c r="YE3" s="90"/>
      <c r="YF3" s="90"/>
      <c r="YG3" s="90"/>
      <c r="YH3" s="90"/>
      <c r="YI3" s="90"/>
      <c r="YJ3" s="90"/>
      <c r="YK3" s="90"/>
      <c r="YL3" s="90"/>
      <c r="YM3" s="90"/>
      <c r="YN3" s="90"/>
      <c r="YO3" s="90"/>
      <c r="YP3" s="90"/>
      <c r="YQ3" s="90"/>
      <c r="YR3" s="90"/>
      <c r="YS3" s="90"/>
      <c r="YT3" s="90"/>
      <c r="YU3" s="90"/>
      <c r="YV3" s="90"/>
      <c r="YW3" s="90"/>
      <c r="YX3" s="90"/>
      <c r="YY3" s="90"/>
      <c r="YZ3" s="90"/>
      <c r="ZA3" s="90"/>
      <c r="ZB3" s="90"/>
      <c r="ZC3" s="90"/>
      <c r="ZD3" s="90"/>
      <c r="ZE3" s="90"/>
      <c r="ZF3" s="90"/>
      <c r="ZG3" s="91"/>
      <c r="ZH3" s="89" t="s">
        <v>82</v>
      </c>
      <c r="ZI3" s="90"/>
      <c r="ZJ3" s="90"/>
      <c r="ZK3" s="90"/>
      <c r="ZL3" s="90"/>
      <c r="ZM3" s="90"/>
      <c r="ZN3" s="90"/>
      <c r="ZO3" s="90"/>
      <c r="ZP3" s="90"/>
      <c r="ZQ3" s="90"/>
      <c r="ZR3" s="90"/>
      <c r="ZS3" s="90"/>
      <c r="ZT3" s="90"/>
      <c r="ZU3" s="90"/>
      <c r="ZV3" s="90"/>
      <c r="ZW3" s="90"/>
      <c r="ZX3" s="90"/>
      <c r="ZY3" s="90"/>
      <c r="ZZ3" s="90"/>
      <c r="AAA3" s="90"/>
      <c r="AAB3" s="90"/>
      <c r="AAC3" s="90"/>
      <c r="AAD3" s="90"/>
      <c r="AAE3" s="90"/>
      <c r="AAF3" s="90"/>
      <c r="AAG3" s="90"/>
      <c r="AAH3" s="90"/>
      <c r="AAI3" s="90"/>
      <c r="AAJ3" s="90"/>
      <c r="AAK3" s="90"/>
      <c r="AAL3" s="90"/>
      <c r="AAM3" s="90"/>
      <c r="AAN3" s="90"/>
      <c r="AAO3" s="90"/>
      <c r="AAP3" s="90"/>
      <c r="AAQ3" s="90"/>
      <c r="AAR3" s="90"/>
      <c r="AAS3" s="90"/>
      <c r="AAT3" s="90"/>
      <c r="AAU3" s="91"/>
      <c r="AAV3" s="89" t="s">
        <v>83</v>
      </c>
      <c r="AAW3" s="90"/>
      <c r="AAX3" s="90"/>
      <c r="AAY3" s="90"/>
      <c r="AAZ3" s="90"/>
      <c r="ABA3" s="90"/>
      <c r="ABB3" s="90"/>
      <c r="ABC3" s="90"/>
      <c r="ABD3" s="90"/>
      <c r="ABE3" s="90"/>
      <c r="ABF3" s="90"/>
      <c r="ABG3" s="90"/>
      <c r="ABH3" s="90"/>
      <c r="ABI3" s="90"/>
      <c r="ABJ3" s="90"/>
      <c r="ABK3" s="90"/>
      <c r="ABL3" s="90"/>
      <c r="ABM3" s="90"/>
      <c r="ABN3" s="90"/>
      <c r="ABO3" s="90"/>
      <c r="ABP3" s="90"/>
      <c r="ABQ3" s="90"/>
      <c r="ABR3" s="90"/>
      <c r="ABS3" s="90"/>
      <c r="ABT3" s="90"/>
      <c r="ABU3" s="90"/>
      <c r="ABV3" s="90"/>
      <c r="ABW3" s="90"/>
      <c r="ABX3" s="90"/>
      <c r="ABY3" s="90"/>
      <c r="ABZ3" s="90"/>
      <c r="ACA3" s="90"/>
      <c r="ACB3" s="90"/>
      <c r="ACC3" s="90"/>
      <c r="ACD3" s="90"/>
      <c r="ACE3" s="90"/>
      <c r="ACF3" s="90"/>
      <c r="ACG3" s="90"/>
      <c r="ACH3" s="90"/>
      <c r="ACI3" s="91"/>
      <c r="ACJ3" s="89" t="s">
        <v>86</v>
      </c>
      <c r="ACK3" s="90"/>
      <c r="ACL3" s="90"/>
      <c r="ACM3" s="90"/>
      <c r="ACN3" s="90"/>
      <c r="ACO3" s="90"/>
      <c r="ACP3" s="90"/>
      <c r="ACQ3" s="90"/>
      <c r="ACR3" s="90"/>
      <c r="ACS3" s="90"/>
      <c r="ACT3" s="90"/>
      <c r="ACU3" s="90"/>
      <c r="ACV3" s="90"/>
      <c r="ACW3" s="90"/>
      <c r="ACX3" s="90"/>
      <c r="ACY3" s="90"/>
      <c r="ACZ3" s="90"/>
      <c r="ADA3" s="90"/>
      <c r="ADB3" s="90"/>
      <c r="ADC3" s="90"/>
      <c r="ADD3" s="90"/>
      <c r="ADE3" s="90"/>
      <c r="ADF3" s="90"/>
      <c r="ADG3" s="90"/>
      <c r="ADH3" s="90"/>
      <c r="ADI3" s="90"/>
      <c r="ADJ3" s="90"/>
      <c r="ADK3" s="90"/>
      <c r="ADL3" s="90"/>
      <c r="ADM3" s="90"/>
      <c r="ADN3" s="90"/>
      <c r="ADO3" s="90"/>
      <c r="ADP3" s="90"/>
      <c r="ADQ3" s="90"/>
      <c r="ADR3" s="90"/>
      <c r="ADS3" s="90"/>
      <c r="ADT3" s="90"/>
      <c r="ADU3" s="90"/>
      <c r="ADV3" s="90"/>
      <c r="ADW3" s="91"/>
      <c r="ADX3" s="89" t="s">
        <v>84</v>
      </c>
      <c r="ADY3" s="90"/>
      <c r="ADZ3" s="90"/>
      <c r="AEA3" s="90"/>
      <c r="AEB3" s="90"/>
      <c r="AEC3" s="90"/>
      <c r="AED3" s="90"/>
      <c r="AEE3" s="90"/>
      <c r="AEF3" s="90"/>
      <c r="AEG3" s="90"/>
      <c r="AEH3" s="90"/>
      <c r="AEI3" s="90"/>
      <c r="AEJ3" s="90"/>
      <c r="AEK3" s="90"/>
      <c r="AEL3" s="90"/>
      <c r="AEM3" s="90"/>
      <c r="AEN3" s="90"/>
      <c r="AEO3" s="90"/>
      <c r="AEP3" s="90"/>
      <c r="AEQ3" s="90"/>
      <c r="AER3" s="90"/>
      <c r="AES3" s="90"/>
      <c r="AET3" s="90"/>
      <c r="AEU3" s="90"/>
      <c r="AEV3" s="90"/>
      <c r="AEW3" s="90"/>
      <c r="AEX3" s="90"/>
      <c r="AEY3" s="90"/>
      <c r="AEZ3" s="90"/>
      <c r="AFA3" s="90"/>
      <c r="AFB3" s="90"/>
      <c r="AFC3" s="90"/>
      <c r="AFD3" s="90"/>
      <c r="AFE3" s="90"/>
      <c r="AFF3" s="90"/>
      <c r="AFG3" s="90"/>
      <c r="AFH3" s="90"/>
      <c r="AFI3" s="90"/>
      <c r="AFJ3" s="90"/>
      <c r="AFK3" s="91"/>
      <c r="AFL3" s="89" t="s">
        <v>85</v>
      </c>
      <c r="AFM3" s="90"/>
      <c r="AFN3" s="90"/>
      <c r="AFO3" s="90"/>
      <c r="AFP3" s="90"/>
      <c r="AFQ3" s="90"/>
      <c r="AFR3" s="90"/>
      <c r="AFS3" s="90"/>
      <c r="AFT3" s="90"/>
      <c r="AFU3" s="90"/>
      <c r="AFV3" s="90"/>
      <c r="AFW3" s="90"/>
      <c r="AFX3" s="90"/>
      <c r="AFY3" s="90"/>
      <c r="AFZ3" s="90"/>
      <c r="AGA3" s="90"/>
      <c r="AGB3" s="90"/>
      <c r="AGC3" s="90"/>
      <c r="AGD3" s="90"/>
      <c r="AGE3" s="90"/>
      <c r="AGF3" s="90"/>
      <c r="AGG3" s="90"/>
      <c r="AGH3" s="90"/>
      <c r="AGI3" s="90"/>
      <c r="AGJ3" s="90"/>
      <c r="AGK3" s="90"/>
      <c r="AGL3" s="90"/>
      <c r="AGM3" s="90"/>
      <c r="AGN3" s="90"/>
      <c r="AGO3" s="90"/>
      <c r="AGP3" s="90"/>
      <c r="AGQ3" s="90"/>
      <c r="AGR3" s="90"/>
      <c r="AGS3" s="90"/>
      <c r="AGT3" s="90"/>
      <c r="AGU3" s="90"/>
      <c r="AGV3" s="90"/>
      <c r="AGW3" s="90"/>
      <c r="AGX3" s="90"/>
      <c r="AGY3" s="91"/>
      <c r="AGZ3" s="89"/>
      <c r="AHA3" s="90"/>
      <c r="AHB3" s="90"/>
      <c r="AHC3" s="90"/>
      <c r="AHD3" s="90"/>
      <c r="AHE3" s="90"/>
      <c r="AHF3" s="90"/>
      <c r="AHG3" s="90"/>
      <c r="AHH3" s="90"/>
      <c r="AHI3" s="90"/>
      <c r="AHJ3" s="90"/>
      <c r="AHK3" s="90"/>
      <c r="AHL3" s="90"/>
      <c r="AHM3" s="90"/>
      <c r="AHN3" s="90"/>
      <c r="AHO3" s="90"/>
      <c r="AHP3" s="90"/>
      <c r="AHQ3" s="90"/>
      <c r="AHR3" s="90"/>
      <c r="AHS3" s="90"/>
      <c r="AHT3" s="90"/>
      <c r="AHU3" s="90"/>
      <c r="AHV3" s="90"/>
      <c r="AHW3" s="90"/>
      <c r="AHX3" s="90"/>
      <c r="AHY3" s="90"/>
      <c r="AHZ3" s="90"/>
      <c r="AIA3" s="90"/>
      <c r="AIB3" s="90"/>
      <c r="AIC3" s="90"/>
      <c r="AID3" s="90"/>
      <c r="AIE3" s="90"/>
      <c r="AIF3" s="90"/>
      <c r="AIG3" s="90"/>
      <c r="AIH3" s="90"/>
      <c r="AII3" s="90"/>
      <c r="AIJ3" s="90"/>
      <c r="AIK3" s="90"/>
      <c r="AIL3" s="90"/>
      <c r="AIM3" s="91"/>
      <c r="AIN3" s="89"/>
      <c r="AIO3" s="90"/>
      <c r="AIP3" s="90"/>
      <c r="AIQ3" s="90"/>
      <c r="AIR3" s="90"/>
      <c r="AIS3" s="90"/>
      <c r="AIT3" s="90"/>
      <c r="AIU3" s="90"/>
      <c r="AIV3" s="90"/>
      <c r="AIW3" s="90"/>
      <c r="AIX3" s="90"/>
      <c r="AIY3" s="90"/>
      <c r="AIZ3" s="90"/>
      <c r="AJA3" s="90"/>
      <c r="AJB3" s="90"/>
      <c r="AJC3" s="90"/>
      <c r="AJD3" s="90"/>
      <c r="AJE3" s="90"/>
      <c r="AJF3" s="90"/>
      <c r="AJG3" s="90"/>
      <c r="AJH3" s="90"/>
      <c r="AJI3" s="90"/>
      <c r="AJJ3" s="90"/>
      <c r="AJK3" s="90"/>
      <c r="AJL3" s="90"/>
      <c r="AJM3" s="90"/>
      <c r="AJN3" s="90"/>
      <c r="AJO3" s="90"/>
      <c r="AJP3" s="90"/>
      <c r="AJQ3" s="90"/>
      <c r="AJR3" s="90"/>
      <c r="AJS3" s="90"/>
      <c r="AJT3" s="90"/>
      <c r="AJU3" s="90"/>
      <c r="AJV3" s="90"/>
      <c r="AJW3" s="90"/>
      <c r="AJX3" s="90"/>
      <c r="AJY3" s="90"/>
      <c r="AJZ3" s="90"/>
      <c r="AKA3" s="91"/>
      <c r="AKB3" s="92" t="s">
        <v>16</v>
      </c>
      <c r="AKC3" s="86"/>
    </row>
    <row r="4" spans="1:965" s="2" customFormat="1" x14ac:dyDescent="0.35">
      <c r="A4" s="93"/>
      <c r="B4" s="93"/>
      <c r="C4" s="21"/>
      <c r="D4" s="102" t="s">
        <v>5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4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102" t="s">
        <v>5</v>
      </c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4"/>
      <c r="BE4" s="102" t="s">
        <v>6</v>
      </c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4"/>
      <c r="BR4" s="102" t="s">
        <v>7</v>
      </c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4"/>
      <c r="CE4" s="87" t="s">
        <v>227</v>
      </c>
      <c r="CF4" s="94" t="s">
        <v>5</v>
      </c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6"/>
      <c r="CS4" s="89" t="s">
        <v>6</v>
      </c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1"/>
      <c r="DF4" s="89" t="s">
        <v>7</v>
      </c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1"/>
      <c r="DS4" s="87" t="s">
        <v>227</v>
      </c>
      <c r="DT4" s="94" t="s">
        <v>5</v>
      </c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6"/>
      <c r="EG4" s="89" t="s">
        <v>6</v>
      </c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1"/>
      <c r="ET4" s="89" t="s">
        <v>7</v>
      </c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1"/>
      <c r="FG4" s="87" t="s">
        <v>227</v>
      </c>
      <c r="FH4" s="94" t="s">
        <v>5</v>
      </c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6"/>
      <c r="FU4" s="89" t="s">
        <v>6</v>
      </c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1"/>
      <c r="GH4" s="89" t="s">
        <v>7</v>
      </c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1"/>
      <c r="GU4" s="87" t="s">
        <v>227</v>
      </c>
      <c r="GV4" s="94" t="s">
        <v>5</v>
      </c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6"/>
      <c r="HI4" s="89" t="s">
        <v>6</v>
      </c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1"/>
      <c r="HV4" s="89" t="s">
        <v>7</v>
      </c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1"/>
      <c r="II4" s="87" t="s">
        <v>227</v>
      </c>
      <c r="IJ4" s="94" t="s">
        <v>5</v>
      </c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6"/>
      <c r="IW4" s="89" t="s">
        <v>6</v>
      </c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1"/>
      <c r="JJ4" s="89" t="s">
        <v>7</v>
      </c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1"/>
      <c r="JW4" s="87" t="s">
        <v>227</v>
      </c>
      <c r="JX4" s="94" t="s">
        <v>5</v>
      </c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6"/>
      <c r="KK4" s="89" t="s">
        <v>6</v>
      </c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1"/>
      <c r="KX4" s="89" t="s">
        <v>7</v>
      </c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1"/>
      <c r="LK4" s="87" t="s">
        <v>227</v>
      </c>
      <c r="LL4" s="94" t="s">
        <v>5</v>
      </c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6"/>
      <c r="LY4" s="89" t="s">
        <v>6</v>
      </c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1"/>
      <c r="ML4" s="89" t="s">
        <v>7</v>
      </c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1"/>
      <c r="MY4" s="87" t="s">
        <v>227</v>
      </c>
      <c r="MZ4" s="94" t="s">
        <v>5</v>
      </c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6"/>
      <c r="NM4" s="89" t="s">
        <v>6</v>
      </c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  <c r="NY4" s="91"/>
      <c r="NZ4" s="89" t="s">
        <v>7</v>
      </c>
      <c r="OA4" s="90"/>
      <c r="OB4" s="90"/>
      <c r="OC4" s="90"/>
      <c r="OD4" s="90"/>
      <c r="OE4" s="90"/>
      <c r="OF4" s="90"/>
      <c r="OG4" s="90"/>
      <c r="OH4" s="90"/>
      <c r="OI4" s="90"/>
      <c r="OJ4" s="90"/>
      <c r="OK4" s="90"/>
      <c r="OL4" s="91"/>
      <c r="OM4" s="87" t="s">
        <v>227</v>
      </c>
      <c r="ON4" s="94" t="s">
        <v>5</v>
      </c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6"/>
      <c r="PA4" s="89" t="s">
        <v>6</v>
      </c>
      <c r="PB4" s="90"/>
      <c r="PC4" s="90"/>
      <c r="PD4" s="90"/>
      <c r="PE4" s="90"/>
      <c r="PF4" s="90"/>
      <c r="PG4" s="90"/>
      <c r="PH4" s="90"/>
      <c r="PI4" s="90"/>
      <c r="PJ4" s="90"/>
      <c r="PK4" s="90"/>
      <c r="PL4" s="90"/>
      <c r="PM4" s="91"/>
      <c r="PN4" s="89" t="s">
        <v>7</v>
      </c>
      <c r="PO4" s="90"/>
      <c r="PP4" s="90"/>
      <c r="PQ4" s="90"/>
      <c r="PR4" s="90"/>
      <c r="PS4" s="90"/>
      <c r="PT4" s="90"/>
      <c r="PU4" s="90"/>
      <c r="PV4" s="90"/>
      <c r="PW4" s="90"/>
      <c r="PX4" s="90"/>
      <c r="PY4" s="90"/>
      <c r="PZ4" s="91"/>
      <c r="QA4" s="87" t="s">
        <v>227</v>
      </c>
      <c r="QB4" s="94" t="s">
        <v>5</v>
      </c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6"/>
      <c r="QO4" s="89" t="s">
        <v>6</v>
      </c>
      <c r="QP4" s="90"/>
      <c r="QQ4" s="90"/>
      <c r="QR4" s="90"/>
      <c r="QS4" s="90"/>
      <c r="QT4" s="90"/>
      <c r="QU4" s="90"/>
      <c r="QV4" s="90"/>
      <c r="QW4" s="90"/>
      <c r="QX4" s="90"/>
      <c r="QY4" s="90"/>
      <c r="QZ4" s="90"/>
      <c r="RA4" s="91"/>
      <c r="RB4" s="89" t="s">
        <v>7</v>
      </c>
      <c r="RC4" s="90"/>
      <c r="RD4" s="90"/>
      <c r="RE4" s="90"/>
      <c r="RF4" s="90"/>
      <c r="RG4" s="90"/>
      <c r="RH4" s="90"/>
      <c r="RI4" s="90"/>
      <c r="RJ4" s="90"/>
      <c r="RK4" s="90"/>
      <c r="RL4" s="90"/>
      <c r="RM4" s="90"/>
      <c r="RN4" s="91"/>
      <c r="RO4" s="87" t="s">
        <v>227</v>
      </c>
      <c r="RP4" s="94" t="s">
        <v>5</v>
      </c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6"/>
      <c r="SC4" s="89" t="s">
        <v>6</v>
      </c>
      <c r="SD4" s="90"/>
      <c r="SE4" s="90"/>
      <c r="SF4" s="90"/>
      <c r="SG4" s="90"/>
      <c r="SH4" s="90"/>
      <c r="SI4" s="90"/>
      <c r="SJ4" s="90"/>
      <c r="SK4" s="90"/>
      <c r="SL4" s="90"/>
      <c r="SM4" s="90"/>
      <c r="SN4" s="90"/>
      <c r="SO4" s="91"/>
      <c r="SP4" s="89" t="s">
        <v>7</v>
      </c>
      <c r="SQ4" s="90"/>
      <c r="SR4" s="90"/>
      <c r="SS4" s="90"/>
      <c r="ST4" s="90"/>
      <c r="SU4" s="90"/>
      <c r="SV4" s="90"/>
      <c r="SW4" s="90"/>
      <c r="SX4" s="90"/>
      <c r="SY4" s="90"/>
      <c r="SZ4" s="90"/>
      <c r="TA4" s="90"/>
      <c r="TB4" s="91"/>
      <c r="TC4" s="87" t="s">
        <v>227</v>
      </c>
      <c r="TD4" s="94" t="s">
        <v>5</v>
      </c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6"/>
      <c r="TQ4" s="89" t="s">
        <v>6</v>
      </c>
      <c r="TR4" s="90"/>
      <c r="TS4" s="90"/>
      <c r="TT4" s="90"/>
      <c r="TU4" s="90"/>
      <c r="TV4" s="90"/>
      <c r="TW4" s="90"/>
      <c r="TX4" s="90"/>
      <c r="TY4" s="90"/>
      <c r="TZ4" s="90"/>
      <c r="UA4" s="90"/>
      <c r="UB4" s="90"/>
      <c r="UC4" s="91"/>
      <c r="UD4" s="89" t="s">
        <v>7</v>
      </c>
      <c r="UE4" s="90"/>
      <c r="UF4" s="90"/>
      <c r="UG4" s="90"/>
      <c r="UH4" s="90"/>
      <c r="UI4" s="90"/>
      <c r="UJ4" s="90"/>
      <c r="UK4" s="90"/>
      <c r="UL4" s="90"/>
      <c r="UM4" s="90"/>
      <c r="UN4" s="90"/>
      <c r="UO4" s="90"/>
      <c r="UP4" s="91"/>
      <c r="UQ4" s="87" t="s">
        <v>227</v>
      </c>
      <c r="UR4" s="94" t="s">
        <v>5</v>
      </c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6"/>
      <c r="VE4" s="89" t="s">
        <v>6</v>
      </c>
      <c r="VF4" s="90"/>
      <c r="VG4" s="90"/>
      <c r="VH4" s="90"/>
      <c r="VI4" s="90"/>
      <c r="VJ4" s="90"/>
      <c r="VK4" s="90"/>
      <c r="VL4" s="90"/>
      <c r="VM4" s="90"/>
      <c r="VN4" s="90"/>
      <c r="VO4" s="90"/>
      <c r="VP4" s="90"/>
      <c r="VQ4" s="91"/>
      <c r="VR4" s="89" t="s">
        <v>7</v>
      </c>
      <c r="VS4" s="90"/>
      <c r="VT4" s="90"/>
      <c r="VU4" s="90"/>
      <c r="VV4" s="90"/>
      <c r="VW4" s="90"/>
      <c r="VX4" s="90"/>
      <c r="VY4" s="90"/>
      <c r="VZ4" s="90"/>
      <c r="WA4" s="90"/>
      <c r="WB4" s="90"/>
      <c r="WC4" s="90"/>
      <c r="WD4" s="91"/>
      <c r="WE4" s="87" t="s">
        <v>227</v>
      </c>
      <c r="WF4" s="94" t="s">
        <v>5</v>
      </c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6"/>
      <c r="WS4" s="89" t="s">
        <v>6</v>
      </c>
      <c r="WT4" s="90"/>
      <c r="WU4" s="90"/>
      <c r="WV4" s="90"/>
      <c r="WW4" s="90"/>
      <c r="WX4" s="90"/>
      <c r="WY4" s="90"/>
      <c r="WZ4" s="90"/>
      <c r="XA4" s="90"/>
      <c r="XB4" s="90"/>
      <c r="XC4" s="90"/>
      <c r="XD4" s="90"/>
      <c r="XE4" s="91"/>
      <c r="XF4" s="89" t="s">
        <v>7</v>
      </c>
      <c r="XG4" s="90"/>
      <c r="XH4" s="90"/>
      <c r="XI4" s="90"/>
      <c r="XJ4" s="90"/>
      <c r="XK4" s="90"/>
      <c r="XL4" s="90"/>
      <c r="XM4" s="90"/>
      <c r="XN4" s="90"/>
      <c r="XO4" s="90"/>
      <c r="XP4" s="90"/>
      <c r="XQ4" s="90"/>
      <c r="XR4" s="91"/>
      <c r="XS4" s="87" t="s">
        <v>227</v>
      </c>
      <c r="XT4" s="94" t="s">
        <v>5</v>
      </c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6"/>
      <c r="YG4" s="89" t="s">
        <v>6</v>
      </c>
      <c r="YH4" s="90"/>
      <c r="YI4" s="90"/>
      <c r="YJ4" s="90"/>
      <c r="YK4" s="90"/>
      <c r="YL4" s="90"/>
      <c r="YM4" s="90"/>
      <c r="YN4" s="90"/>
      <c r="YO4" s="90"/>
      <c r="YP4" s="90"/>
      <c r="YQ4" s="90"/>
      <c r="YR4" s="90"/>
      <c r="YS4" s="91"/>
      <c r="YT4" s="89" t="s">
        <v>7</v>
      </c>
      <c r="YU4" s="90"/>
      <c r="YV4" s="90"/>
      <c r="YW4" s="90"/>
      <c r="YX4" s="90"/>
      <c r="YY4" s="90"/>
      <c r="YZ4" s="90"/>
      <c r="ZA4" s="90"/>
      <c r="ZB4" s="90"/>
      <c r="ZC4" s="90"/>
      <c r="ZD4" s="90"/>
      <c r="ZE4" s="90"/>
      <c r="ZF4" s="91"/>
      <c r="ZG4" s="87" t="s">
        <v>227</v>
      </c>
      <c r="ZH4" s="94" t="s">
        <v>5</v>
      </c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6"/>
      <c r="ZU4" s="89" t="s">
        <v>6</v>
      </c>
      <c r="ZV4" s="90"/>
      <c r="ZW4" s="90"/>
      <c r="ZX4" s="90"/>
      <c r="ZY4" s="90"/>
      <c r="ZZ4" s="90"/>
      <c r="AAA4" s="90"/>
      <c r="AAB4" s="90"/>
      <c r="AAC4" s="90"/>
      <c r="AAD4" s="90"/>
      <c r="AAE4" s="90"/>
      <c r="AAF4" s="90"/>
      <c r="AAG4" s="91"/>
      <c r="AAH4" s="89" t="s">
        <v>7</v>
      </c>
      <c r="AAI4" s="90"/>
      <c r="AAJ4" s="90"/>
      <c r="AAK4" s="90"/>
      <c r="AAL4" s="90"/>
      <c r="AAM4" s="90"/>
      <c r="AAN4" s="90"/>
      <c r="AAO4" s="90"/>
      <c r="AAP4" s="90"/>
      <c r="AAQ4" s="90"/>
      <c r="AAR4" s="90"/>
      <c r="AAS4" s="90"/>
      <c r="AAT4" s="91"/>
      <c r="AAU4" s="87" t="s">
        <v>227</v>
      </c>
      <c r="AAV4" s="94" t="s">
        <v>5</v>
      </c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6"/>
      <c r="ABI4" s="89" t="s">
        <v>6</v>
      </c>
      <c r="ABJ4" s="90"/>
      <c r="ABK4" s="90"/>
      <c r="ABL4" s="90"/>
      <c r="ABM4" s="90"/>
      <c r="ABN4" s="90"/>
      <c r="ABO4" s="90"/>
      <c r="ABP4" s="90"/>
      <c r="ABQ4" s="90"/>
      <c r="ABR4" s="90"/>
      <c r="ABS4" s="90"/>
      <c r="ABT4" s="90"/>
      <c r="ABU4" s="91"/>
      <c r="ABV4" s="89" t="s">
        <v>7</v>
      </c>
      <c r="ABW4" s="90"/>
      <c r="ABX4" s="90"/>
      <c r="ABY4" s="90"/>
      <c r="ABZ4" s="90"/>
      <c r="ACA4" s="90"/>
      <c r="ACB4" s="90"/>
      <c r="ACC4" s="90"/>
      <c r="ACD4" s="90"/>
      <c r="ACE4" s="90"/>
      <c r="ACF4" s="90"/>
      <c r="ACG4" s="90"/>
      <c r="ACH4" s="91"/>
      <c r="ACI4" s="87" t="s">
        <v>227</v>
      </c>
      <c r="ACJ4" s="94" t="s">
        <v>5</v>
      </c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6"/>
      <c r="ACW4" s="89" t="s">
        <v>6</v>
      </c>
      <c r="ACX4" s="90"/>
      <c r="ACY4" s="90"/>
      <c r="ACZ4" s="90"/>
      <c r="ADA4" s="90"/>
      <c r="ADB4" s="90"/>
      <c r="ADC4" s="90"/>
      <c r="ADD4" s="90"/>
      <c r="ADE4" s="90"/>
      <c r="ADF4" s="90"/>
      <c r="ADG4" s="90"/>
      <c r="ADH4" s="90"/>
      <c r="ADI4" s="91"/>
      <c r="ADJ4" s="89" t="s">
        <v>7</v>
      </c>
      <c r="ADK4" s="90"/>
      <c r="ADL4" s="90"/>
      <c r="ADM4" s="90"/>
      <c r="ADN4" s="90"/>
      <c r="ADO4" s="90"/>
      <c r="ADP4" s="90"/>
      <c r="ADQ4" s="90"/>
      <c r="ADR4" s="90"/>
      <c r="ADS4" s="90"/>
      <c r="ADT4" s="90"/>
      <c r="ADU4" s="90"/>
      <c r="ADV4" s="91"/>
      <c r="ADW4" s="87" t="s">
        <v>227</v>
      </c>
      <c r="ADX4" s="94" t="s">
        <v>5</v>
      </c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6"/>
      <c r="AEK4" s="89" t="s">
        <v>6</v>
      </c>
      <c r="AEL4" s="90"/>
      <c r="AEM4" s="90"/>
      <c r="AEN4" s="90"/>
      <c r="AEO4" s="90"/>
      <c r="AEP4" s="90"/>
      <c r="AEQ4" s="90"/>
      <c r="AER4" s="90"/>
      <c r="AES4" s="90"/>
      <c r="AET4" s="90"/>
      <c r="AEU4" s="90"/>
      <c r="AEV4" s="90"/>
      <c r="AEW4" s="91"/>
      <c r="AEX4" s="89" t="s">
        <v>7</v>
      </c>
      <c r="AEY4" s="90"/>
      <c r="AEZ4" s="90"/>
      <c r="AFA4" s="90"/>
      <c r="AFB4" s="90"/>
      <c r="AFC4" s="90"/>
      <c r="AFD4" s="90"/>
      <c r="AFE4" s="90"/>
      <c r="AFF4" s="90"/>
      <c r="AFG4" s="90"/>
      <c r="AFH4" s="90"/>
      <c r="AFI4" s="90"/>
      <c r="AFJ4" s="91"/>
      <c r="AFK4" s="87" t="s">
        <v>227</v>
      </c>
      <c r="AFL4" s="94" t="s">
        <v>5</v>
      </c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6"/>
      <c r="AFY4" s="89" t="s">
        <v>6</v>
      </c>
      <c r="AFZ4" s="90"/>
      <c r="AGA4" s="90"/>
      <c r="AGB4" s="90"/>
      <c r="AGC4" s="90"/>
      <c r="AGD4" s="90"/>
      <c r="AGE4" s="90"/>
      <c r="AGF4" s="90"/>
      <c r="AGG4" s="90"/>
      <c r="AGH4" s="90"/>
      <c r="AGI4" s="90"/>
      <c r="AGJ4" s="90"/>
      <c r="AGK4" s="91"/>
      <c r="AGL4" s="89" t="s">
        <v>7</v>
      </c>
      <c r="AGM4" s="90"/>
      <c r="AGN4" s="90"/>
      <c r="AGO4" s="90"/>
      <c r="AGP4" s="90"/>
      <c r="AGQ4" s="90"/>
      <c r="AGR4" s="90"/>
      <c r="AGS4" s="90"/>
      <c r="AGT4" s="90"/>
      <c r="AGU4" s="90"/>
      <c r="AGV4" s="90"/>
      <c r="AGW4" s="90"/>
      <c r="AGX4" s="91"/>
      <c r="AGY4" s="87" t="s">
        <v>227</v>
      </c>
      <c r="AGZ4" s="94" t="s">
        <v>5</v>
      </c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6"/>
      <c r="AHM4" s="89" t="s">
        <v>6</v>
      </c>
      <c r="AHN4" s="90"/>
      <c r="AHO4" s="90"/>
      <c r="AHP4" s="90"/>
      <c r="AHQ4" s="90"/>
      <c r="AHR4" s="90"/>
      <c r="AHS4" s="90"/>
      <c r="AHT4" s="90"/>
      <c r="AHU4" s="90"/>
      <c r="AHV4" s="90"/>
      <c r="AHW4" s="90"/>
      <c r="AHX4" s="90"/>
      <c r="AHY4" s="91"/>
      <c r="AHZ4" s="89" t="s">
        <v>7</v>
      </c>
      <c r="AIA4" s="90"/>
      <c r="AIB4" s="90"/>
      <c r="AIC4" s="90"/>
      <c r="AID4" s="90"/>
      <c r="AIE4" s="90"/>
      <c r="AIF4" s="90"/>
      <c r="AIG4" s="90"/>
      <c r="AIH4" s="90"/>
      <c r="AII4" s="90"/>
      <c r="AIJ4" s="90"/>
      <c r="AIK4" s="90"/>
      <c r="AIL4" s="91"/>
      <c r="AIM4" s="22"/>
      <c r="AIN4" s="94" t="s">
        <v>5</v>
      </c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6"/>
      <c r="AJA4" s="89" t="s">
        <v>6</v>
      </c>
      <c r="AJB4" s="90"/>
      <c r="AJC4" s="90"/>
      <c r="AJD4" s="90"/>
      <c r="AJE4" s="90"/>
      <c r="AJF4" s="90"/>
      <c r="AJG4" s="90"/>
      <c r="AJH4" s="90"/>
      <c r="AJI4" s="90"/>
      <c r="AJJ4" s="90"/>
      <c r="AJK4" s="90"/>
      <c r="AJL4" s="90"/>
      <c r="AJM4" s="91"/>
      <c r="AJN4" s="89" t="s">
        <v>7</v>
      </c>
      <c r="AJO4" s="90"/>
      <c r="AJP4" s="90"/>
      <c r="AJQ4" s="90"/>
      <c r="AJR4" s="90"/>
      <c r="AJS4" s="90"/>
      <c r="AJT4" s="90"/>
      <c r="AJU4" s="90"/>
      <c r="AJV4" s="90"/>
      <c r="AJW4" s="90"/>
      <c r="AJX4" s="90"/>
      <c r="AJY4" s="90"/>
      <c r="AJZ4" s="91"/>
      <c r="AKA4" s="22"/>
      <c r="AKB4" s="93"/>
      <c r="AKC4" s="86"/>
    </row>
    <row r="5" spans="1:965" s="2" customFormat="1" x14ac:dyDescent="0.35">
      <c r="A5" s="21"/>
      <c r="B5" s="21"/>
      <c r="C5" s="2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B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>+AO5</f>
        <v>ก.ย.</v>
      </c>
      <c r="BD5" s="17" t="s">
        <v>16</v>
      </c>
      <c r="BE5" s="16" t="str">
        <f>+AR5</f>
        <v>ต.ค.</v>
      </c>
      <c r="BF5" s="16" t="str">
        <f t="shared" ref="BF5:BP5" si="3">+AS5</f>
        <v>พ.ย.</v>
      </c>
      <c r="BG5" s="16" t="str">
        <f t="shared" si="3"/>
        <v>ธ.ค.</v>
      </c>
      <c r="BH5" s="16" t="str">
        <f t="shared" si="3"/>
        <v>ม.ค.</v>
      </c>
      <c r="BI5" s="16" t="str">
        <f t="shared" si="3"/>
        <v>ก.พ.</v>
      </c>
      <c r="BJ5" s="16" t="str">
        <f t="shared" si="3"/>
        <v>มี.ค.</v>
      </c>
      <c r="BK5" s="16" t="str">
        <f t="shared" si="3"/>
        <v>เม.ย.</v>
      </c>
      <c r="BL5" s="16" t="str">
        <f t="shared" si="3"/>
        <v>พ.ค.</v>
      </c>
      <c r="BM5" s="16" t="str">
        <f t="shared" si="3"/>
        <v>มิ.ย.</v>
      </c>
      <c r="BN5" s="16" t="str">
        <f t="shared" si="3"/>
        <v>ก.ค.</v>
      </c>
      <c r="BO5" s="16" t="str">
        <f t="shared" si="3"/>
        <v>ส.ค.</v>
      </c>
      <c r="BP5" s="16" t="str">
        <f t="shared" si="3"/>
        <v>ก.ย.</v>
      </c>
      <c r="BQ5" s="17" t="s">
        <v>16</v>
      </c>
      <c r="BR5" s="16" t="str">
        <f>+BE5</f>
        <v>ต.ค.</v>
      </c>
      <c r="BS5" s="16" t="str">
        <f t="shared" ref="BS5" si="4">+BF5</f>
        <v>พ.ย.</v>
      </c>
      <c r="BT5" s="16" t="str">
        <f t="shared" ref="BT5" si="5">+BG5</f>
        <v>ธ.ค.</v>
      </c>
      <c r="BU5" s="16" t="str">
        <f t="shared" ref="BU5" si="6">+BH5</f>
        <v>ม.ค.</v>
      </c>
      <c r="BV5" s="16" t="str">
        <f t="shared" ref="BV5" si="7">+BI5</f>
        <v>ก.พ.</v>
      </c>
      <c r="BW5" s="16" t="str">
        <f t="shared" ref="BW5" si="8">+BJ5</f>
        <v>มี.ค.</v>
      </c>
      <c r="BX5" s="16" t="str">
        <f t="shared" ref="BX5" si="9">+BK5</f>
        <v>เม.ย.</v>
      </c>
      <c r="BY5" s="16" t="str">
        <f t="shared" ref="BY5" si="10">+BL5</f>
        <v>พ.ค.</v>
      </c>
      <c r="BZ5" s="16" t="str">
        <f t="shared" ref="BZ5" si="11">+BM5</f>
        <v>มิ.ย.</v>
      </c>
      <c r="CA5" s="16" t="str">
        <f t="shared" ref="CA5" si="12">+BN5</f>
        <v>ก.ค.</v>
      </c>
      <c r="CB5" s="16" t="str">
        <f t="shared" ref="CB5" si="13">+BO5</f>
        <v>ส.ค.</v>
      </c>
      <c r="CC5" s="16" t="str">
        <f t="shared" ref="CC5" si="14">+BP5</f>
        <v>ก.ย.</v>
      </c>
      <c r="CD5" s="17" t="s">
        <v>16</v>
      </c>
      <c r="CE5" s="88"/>
      <c r="CF5" s="16" t="str">
        <f>+BR5</f>
        <v>ต.ค.</v>
      </c>
      <c r="CG5" s="16" t="str">
        <f t="shared" ref="CG5" si="15">+BS5</f>
        <v>พ.ย.</v>
      </c>
      <c r="CH5" s="16" t="str">
        <f t="shared" ref="CH5" si="16">+BT5</f>
        <v>ธ.ค.</v>
      </c>
      <c r="CI5" s="16" t="str">
        <f t="shared" ref="CI5" si="17">+BU5</f>
        <v>ม.ค.</v>
      </c>
      <c r="CJ5" s="16" t="str">
        <f t="shared" ref="CJ5" si="18">+BV5</f>
        <v>ก.พ.</v>
      </c>
      <c r="CK5" s="16" t="str">
        <f t="shared" ref="CK5" si="19">+BW5</f>
        <v>มี.ค.</v>
      </c>
      <c r="CL5" s="16" t="str">
        <f t="shared" ref="CL5" si="20">+BX5</f>
        <v>เม.ย.</v>
      </c>
      <c r="CM5" s="16" t="str">
        <f t="shared" ref="CM5" si="21">+BY5</f>
        <v>พ.ค.</v>
      </c>
      <c r="CN5" s="16" t="str">
        <f t="shared" ref="CN5" si="22">+BZ5</f>
        <v>มิ.ย.</v>
      </c>
      <c r="CO5" s="16" t="str">
        <f t="shared" ref="CO5" si="23">+CA5</f>
        <v>ก.ค.</v>
      </c>
      <c r="CP5" s="16" t="str">
        <f t="shared" ref="CP5" si="24">+CB5</f>
        <v>ส.ค.</v>
      </c>
      <c r="CQ5" s="16" t="str">
        <f>+CC5</f>
        <v>ก.ย.</v>
      </c>
      <c r="CR5" s="17" t="s">
        <v>16</v>
      </c>
      <c r="CS5" s="16" t="str">
        <f>+CF5</f>
        <v>ต.ค.</v>
      </c>
      <c r="CT5" s="16" t="str">
        <f t="shared" ref="CT5" si="25">+CG5</f>
        <v>พ.ย.</v>
      </c>
      <c r="CU5" s="16" t="str">
        <f t="shared" ref="CU5" si="26">+CH5</f>
        <v>ธ.ค.</v>
      </c>
      <c r="CV5" s="16" t="str">
        <f t="shared" ref="CV5" si="27">+CI5</f>
        <v>ม.ค.</v>
      </c>
      <c r="CW5" s="16" t="str">
        <f t="shared" ref="CW5" si="28">+CJ5</f>
        <v>ก.พ.</v>
      </c>
      <c r="CX5" s="16" t="str">
        <f t="shared" ref="CX5" si="29">+CK5</f>
        <v>มี.ค.</v>
      </c>
      <c r="CY5" s="16" t="str">
        <f t="shared" ref="CY5" si="30">+CL5</f>
        <v>เม.ย.</v>
      </c>
      <c r="CZ5" s="16" t="str">
        <f t="shared" ref="CZ5" si="31">+CM5</f>
        <v>พ.ค.</v>
      </c>
      <c r="DA5" s="16" t="str">
        <f t="shared" ref="DA5" si="32">+CN5</f>
        <v>มิ.ย.</v>
      </c>
      <c r="DB5" s="16" t="str">
        <f t="shared" ref="DB5" si="33">+CO5</f>
        <v>ก.ค.</v>
      </c>
      <c r="DC5" s="16" t="str">
        <f t="shared" ref="DC5" si="34">+CP5</f>
        <v>ส.ค.</v>
      </c>
      <c r="DD5" s="16" t="str">
        <f t="shared" ref="DD5" si="35">+CQ5</f>
        <v>ก.ย.</v>
      </c>
      <c r="DE5" s="17" t="s">
        <v>16</v>
      </c>
      <c r="DF5" s="16" t="str">
        <f>+CS5</f>
        <v>ต.ค.</v>
      </c>
      <c r="DG5" s="16" t="str">
        <f t="shared" ref="DG5" si="36">+CT5</f>
        <v>พ.ย.</v>
      </c>
      <c r="DH5" s="16" t="str">
        <f t="shared" ref="DH5" si="37">+CU5</f>
        <v>ธ.ค.</v>
      </c>
      <c r="DI5" s="16" t="str">
        <f t="shared" ref="DI5" si="38">+CV5</f>
        <v>ม.ค.</v>
      </c>
      <c r="DJ5" s="16" t="str">
        <f t="shared" ref="DJ5" si="39">+CW5</f>
        <v>ก.พ.</v>
      </c>
      <c r="DK5" s="16" t="str">
        <f t="shared" ref="DK5" si="40">+CX5</f>
        <v>มี.ค.</v>
      </c>
      <c r="DL5" s="16" t="str">
        <f t="shared" ref="DL5" si="41">+CY5</f>
        <v>เม.ย.</v>
      </c>
      <c r="DM5" s="16" t="str">
        <f t="shared" ref="DM5" si="42">+CZ5</f>
        <v>พ.ค.</v>
      </c>
      <c r="DN5" s="16" t="str">
        <f t="shared" ref="DN5" si="43">+DA5</f>
        <v>มิ.ย.</v>
      </c>
      <c r="DO5" s="16" t="str">
        <f t="shared" ref="DO5" si="44">+DB5</f>
        <v>ก.ค.</v>
      </c>
      <c r="DP5" s="16" t="str">
        <f t="shared" ref="DP5" si="45">+DC5</f>
        <v>ส.ค.</v>
      </c>
      <c r="DQ5" s="16" t="str">
        <f t="shared" ref="DQ5" si="46">+DD5</f>
        <v>ก.ย.</v>
      </c>
      <c r="DR5" s="17" t="s">
        <v>16</v>
      </c>
      <c r="DS5" s="88"/>
      <c r="DT5" s="16" t="str">
        <f>+DF5</f>
        <v>ต.ค.</v>
      </c>
      <c r="DU5" s="16" t="str">
        <f t="shared" ref="DU5" si="47">+DG5</f>
        <v>พ.ย.</v>
      </c>
      <c r="DV5" s="16" t="str">
        <f t="shared" ref="DV5" si="48">+DH5</f>
        <v>ธ.ค.</v>
      </c>
      <c r="DW5" s="16" t="str">
        <f t="shared" ref="DW5" si="49">+DI5</f>
        <v>ม.ค.</v>
      </c>
      <c r="DX5" s="16" t="str">
        <f t="shared" ref="DX5" si="50">+DJ5</f>
        <v>ก.พ.</v>
      </c>
      <c r="DY5" s="16" t="str">
        <f t="shared" ref="DY5" si="51">+DK5</f>
        <v>มี.ค.</v>
      </c>
      <c r="DZ5" s="16" t="str">
        <f t="shared" ref="DZ5" si="52">+DL5</f>
        <v>เม.ย.</v>
      </c>
      <c r="EA5" s="16" t="str">
        <f t="shared" ref="EA5" si="53">+DM5</f>
        <v>พ.ค.</v>
      </c>
      <c r="EB5" s="16" t="str">
        <f t="shared" ref="EB5" si="54">+DN5</f>
        <v>มิ.ย.</v>
      </c>
      <c r="EC5" s="16" t="str">
        <f t="shared" ref="EC5" si="55">+DO5</f>
        <v>ก.ค.</v>
      </c>
      <c r="ED5" s="16" t="str">
        <f t="shared" ref="ED5" si="56">+DP5</f>
        <v>ส.ค.</v>
      </c>
      <c r="EE5" s="16" t="str">
        <f>+DQ5</f>
        <v>ก.ย.</v>
      </c>
      <c r="EF5" s="17" t="s">
        <v>16</v>
      </c>
      <c r="EG5" s="16" t="str">
        <f>+DT5</f>
        <v>ต.ค.</v>
      </c>
      <c r="EH5" s="16" t="str">
        <f t="shared" ref="EH5" si="57">+DU5</f>
        <v>พ.ย.</v>
      </c>
      <c r="EI5" s="16" t="str">
        <f t="shared" ref="EI5" si="58">+DV5</f>
        <v>ธ.ค.</v>
      </c>
      <c r="EJ5" s="16" t="str">
        <f t="shared" ref="EJ5" si="59">+DW5</f>
        <v>ม.ค.</v>
      </c>
      <c r="EK5" s="16" t="str">
        <f t="shared" ref="EK5" si="60">+DX5</f>
        <v>ก.พ.</v>
      </c>
      <c r="EL5" s="16" t="str">
        <f t="shared" ref="EL5" si="61">+DY5</f>
        <v>มี.ค.</v>
      </c>
      <c r="EM5" s="16" t="str">
        <f t="shared" ref="EM5" si="62">+DZ5</f>
        <v>เม.ย.</v>
      </c>
      <c r="EN5" s="16" t="str">
        <f t="shared" ref="EN5" si="63">+EA5</f>
        <v>พ.ค.</v>
      </c>
      <c r="EO5" s="16" t="str">
        <f t="shared" ref="EO5" si="64">+EB5</f>
        <v>มิ.ย.</v>
      </c>
      <c r="EP5" s="16" t="str">
        <f t="shared" ref="EP5" si="65">+EC5</f>
        <v>ก.ค.</v>
      </c>
      <c r="EQ5" s="16" t="str">
        <f t="shared" ref="EQ5" si="66">+ED5</f>
        <v>ส.ค.</v>
      </c>
      <c r="ER5" s="16" t="str">
        <f t="shared" ref="ER5" si="67">+EE5</f>
        <v>ก.ย.</v>
      </c>
      <c r="ES5" s="17" t="s">
        <v>16</v>
      </c>
      <c r="ET5" s="16" t="str">
        <f>+EG5</f>
        <v>ต.ค.</v>
      </c>
      <c r="EU5" s="16" t="str">
        <f t="shared" ref="EU5" si="68">+EH5</f>
        <v>พ.ย.</v>
      </c>
      <c r="EV5" s="16" t="str">
        <f t="shared" ref="EV5" si="69">+EI5</f>
        <v>ธ.ค.</v>
      </c>
      <c r="EW5" s="16" t="str">
        <f t="shared" ref="EW5" si="70">+EJ5</f>
        <v>ม.ค.</v>
      </c>
      <c r="EX5" s="16" t="str">
        <f t="shared" ref="EX5" si="71">+EK5</f>
        <v>ก.พ.</v>
      </c>
      <c r="EY5" s="16" t="str">
        <f t="shared" ref="EY5" si="72">+EL5</f>
        <v>มี.ค.</v>
      </c>
      <c r="EZ5" s="16" t="str">
        <f t="shared" ref="EZ5" si="73">+EM5</f>
        <v>เม.ย.</v>
      </c>
      <c r="FA5" s="16" t="str">
        <f t="shared" ref="FA5" si="74">+EN5</f>
        <v>พ.ค.</v>
      </c>
      <c r="FB5" s="16" t="str">
        <f t="shared" ref="FB5" si="75">+EO5</f>
        <v>มิ.ย.</v>
      </c>
      <c r="FC5" s="16" t="str">
        <f t="shared" ref="FC5" si="76">+EP5</f>
        <v>ก.ค.</v>
      </c>
      <c r="FD5" s="16" t="str">
        <f t="shared" ref="FD5" si="77">+EQ5</f>
        <v>ส.ค.</v>
      </c>
      <c r="FE5" s="16" t="str">
        <f t="shared" ref="FE5" si="78">+ER5</f>
        <v>ก.ย.</v>
      </c>
      <c r="FF5" s="17" t="s">
        <v>16</v>
      </c>
      <c r="FG5" s="88"/>
      <c r="FH5" s="16" t="str">
        <f>+ET5</f>
        <v>ต.ค.</v>
      </c>
      <c r="FI5" s="16" t="str">
        <f t="shared" ref="FI5" si="79">+EU5</f>
        <v>พ.ย.</v>
      </c>
      <c r="FJ5" s="16" t="str">
        <f t="shared" ref="FJ5" si="80">+EV5</f>
        <v>ธ.ค.</v>
      </c>
      <c r="FK5" s="16" t="str">
        <f t="shared" ref="FK5" si="81">+EW5</f>
        <v>ม.ค.</v>
      </c>
      <c r="FL5" s="16" t="str">
        <f t="shared" ref="FL5" si="82">+EX5</f>
        <v>ก.พ.</v>
      </c>
      <c r="FM5" s="16" t="str">
        <f t="shared" ref="FM5" si="83">+EY5</f>
        <v>มี.ค.</v>
      </c>
      <c r="FN5" s="16" t="str">
        <f t="shared" ref="FN5" si="84">+EZ5</f>
        <v>เม.ย.</v>
      </c>
      <c r="FO5" s="16" t="str">
        <f t="shared" ref="FO5" si="85">+FA5</f>
        <v>พ.ค.</v>
      </c>
      <c r="FP5" s="16" t="str">
        <f t="shared" ref="FP5" si="86">+FB5</f>
        <v>มิ.ย.</v>
      </c>
      <c r="FQ5" s="16" t="str">
        <f t="shared" ref="FQ5" si="87">+FC5</f>
        <v>ก.ค.</v>
      </c>
      <c r="FR5" s="16" t="str">
        <f t="shared" ref="FR5" si="88">+FD5</f>
        <v>ส.ค.</v>
      </c>
      <c r="FS5" s="16" t="str">
        <f>+FE5</f>
        <v>ก.ย.</v>
      </c>
      <c r="FT5" s="17" t="s">
        <v>16</v>
      </c>
      <c r="FU5" s="16" t="str">
        <f>+FH5</f>
        <v>ต.ค.</v>
      </c>
      <c r="FV5" s="16" t="str">
        <f t="shared" ref="FV5" si="89">+FI5</f>
        <v>พ.ย.</v>
      </c>
      <c r="FW5" s="16" t="str">
        <f t="shared" ref="FW5" si="90">+FJ5</f>
        <v>ธ.ค.</v>
      </c>
      <c r="FX5" s="16" t="str">
        <f t="shared" ref="FX5" si="91">+FK5</f>
        <v>ม.ค.</v>
      </c>
      <c r="FY5" s="16" t="str">
        <f t="shared" ref="FY5" si="92">+FL5</f>
        <v>ก.พ.</v>
      </c>
      <c r="FZ5" s="16" t="str">
        <f t="shared" ref="FZ5" si="93">+FM5</f>
        <v>มี.ค.</v>
      </c>
      <c r="GA5" s="16" t="str">
        <f t="shared" ref="GA5" si="94">+FN5</f>
        <v>เม.ย.</v>
      </c>
      <c r="GB5" s="16" t="str">
        <f t="shared" ref="GB5" si="95">+FO5</f>
        <v>พ.ค.</v>
      </c>
      <c r="GC5" s="16" t="str">
        <f t="shared" ref="GC5" si="96">+FP5</f>
        <v>มิ.ย.</v>
      </c>
      <c r="GD5" s="16" t="str">
        <f t="shared" ref="GD5" si="97">+FQ5</f>
        <v>ก.ค.</v>
      </c>
      <c r="GE5" s="16" t="str">
        <f t="shared" ref="GE5" si="98">+FR5</f>
        <v>ส.ค.</v>
      </c>
      <c r="GF5" s="16" t="str">
        <f t="shared" ref="GF5" si="99">+FS5</f>
        <v>ก.ย.</v>
      </c>
      <c r="GG5" s="17" t="s">
        <v>16</v>
      </c>
      <c r="GH5" s="16" t="str">
        <f>+FU5</f>
        <v>ต.ค.</v>
      </c>
      <c r="GI5" s="16" t="str">
        <f t="shared" ref="GI5" si="100">+FV5</f>
        <v>พ.ย.</v>
      </c>
      <c r="GJ5" s="16" t="str">
        <f t="shared" ref="GJ5" si="101">+FW5</f>
        <v>ธ.ค.</v>
      </c>
      <c r="GK5" s="16" t="str">
        <f t="shared" ref="GK5" si="102">+FX5</f>
        <v>ม.ค.</v>
      </c>
      <c r="GL5" s="16" t="str">
        <f t="shared" ref="GL5" si="103">+FY5</f>
        <v>ก.พ.</v>
      </c>
      <c r="GM5" s="16" t="str">
        <f t="shared" ref="GM5" si="104">+FZ5</f>
        <v>มี.ค.</v>
      </c>
      <c r="GN5" s="16" t="str">
        <f t="shared" ref="GN5" si="105">+GA5</f>
        <v>เม.ย.</v>
      </c>
      <c r="GO5" s="16" t="str">
        <f t="shared" ref="GO5" si="106">+GB5</f>
        <v>พ.ค.</v>
      </c>
      <c r="GP5" s="16" t="str">
        <f t="shared" ref="GP5" si="107">+GC5</f>
        <v>มิ.ย.</v>
      </c>
      <c r="GQ5" s="16" t="str">
        <f t="shared" ref="GQ5" si="108">+GD5</f>
        <v>ก.ค.</v>
      </c>
      <c r="GR5" s="16" t="str">
        <f t="shared" ref="GR5" si="109">+GE5</f>
        <v>ส.ค.</v>
      </c>
      <c r="GS5" s="16" t="str">
        <f t="shared" ref="GS5" si="110">+GF5</f>
        <v>ก.ย.</v>
      </c>
      <c r="GT5" s="17" t="s">
        <v>16</v>
      </c>
      <c r="GU5" s="88"/>
      <c r="GV5" s="16" t="str">
        <f>+GH5</f>
        <v>ต.ค.</v>
      </c>
      <c r="GW5" s="16" t="str">
        <f t="shared" ref="GW5" si="111">+GI5</f>
        <v>พ.ย.</v>
      </c>
      <c r="GX5" s="16" t="str">
        <f t="shared" ref="GX5" si="112">+GJ5</f>
        <v>ธ.ค.</v>
      </c>
      <c r="GY5" s="16" t="str">
        <f t="shared" ref="GY5" si="113">+GK5</f>
        <v>ม.ค.</v>
      </c>
      <c r="GZ5" s="16" t="str">
        <f t="shared" ref="GZ5" si="114">+GL5</f>
        <v>ก.พ.</v>
      </c>
      <c r="HA5" s="16" t="str">
        <f t="shared" ref="HA5" si="115">+GM5</f>
        <v>มี.ค.</v>
      </c>
      <c r="HB5" s="16" t="str">
        <f t="shared" ref="HB5" si="116">+GN5</f>
        <v>เม.ย.</v>
      </c>
      <c r="HC5" s="16" t="str">
        <f t="shared" ref="HC5" si="117">+GO5</f>
        <v>พ.ค.</v>
      </c>
      <c r="HD5" s="16" t="str">
        <f t="shared" ref="HD5" si="118">+GP5</f>
        <v>มิ.ย.</v>
      </c>
      <c r="HE5" s="16" t="str">
        <f t="shared" ref="HE5" si="119">+GQ5</f>
        <v>ก.ค.</v>
      </c>
      <c r="HF5" s="16" t="str">
        <f t="shared" ref="HF5" si="120">+GR5</f>
        <v>ส.ค.</v>
      </c>
      <c r="HG5" s="16" t="str">
        <f>+GS5</f>
        <v>ก.ย.</v>
      </c>
      <c r="HH5" s="17" t="s">
        <v>16</v>
      </c>
      <c r="HI5" s="16" t="str">
        <f>+GV5</f>
        <v>ต.ค.</v>
      </c>
      <c r="HJ5" s="16" t="str">
        <f t="shared" ref="HJ5" si="121">+GW5</f>
        <v>พ.ย.</v>
      </c>
      <c r="HK5" s="16" t="str">
        <f t="shared" ref="HK5" si="122">+GX5</f>
        <v>ธ.ค.</v>
      </c>
      <c r="HL5" s="16" t="str">
        <f t="shared" ref="HL5" si="123">+GY5</f>
        <v>ม.ค.</v>
      </c>
      <c r="HM5" s="16" t="str">
        <f t="shared" ref="HM5" si="124">+GZ5</f>
        <v>ก.พ.</v>
      </c>
      <c r="HN5" s="16" t="str">
        <f t="shared" ref="HN5" si="125">+HA5</f>
        <v>มี.ค.</v>
      </c>
      <c r="HO5" s="16" t="str">
        <f t="shared" ref="HO5" si="126">+HB5</f>
        <v>เม.ย.</v>
      </c>
      <c r="HP5" s="16" t="str">
        <f t="shared" ref="HP5" si="127">+HC5</f>
        <v>พ.ค.</v>
      </c>
      <c r="HQ5" s="16" t="str">
        <f t="shared" ref="HQ5" si="128">+HD5</f>
        <v>มิ.ย.</v>
      </c>
      <c r="HR5" s="16" t="str">
        <f t="shared" ref="HR5" si="129">+HE5</f>
        <v>ก.ค.</v>
      </c>
      <c r="HS5" s="16" t="str">
        <f t="shared" ref="HS5" si="130">+HF5</f>
        <v>ส.ค.</v>
      </c>
      <c r="HT5" s="16" t="str">
        <f t="shared" ref="HT5" si="131">+HG5</f>
        <v>ก.ย.</v>
      </c>
      <c r="HU5" s="17" t="s">
        <v>16</v>
      </c>
      <c r="HV5" s="16" t="str">
        <f>+HI5</f>
        <v>ต.ค.</v>
      </c>
      <c r="HW5" s="16" t="str">
        <f t="shared" ref="HW5" si="132">+HJ5</f>
        <v>พ.ย.</v>
      </c>
      <c r="HX5" s="16" t="str">
        <f t="shared" ref="HX5" si="133">+HK5</f>
        <v>ธ.ค.</v>
      </c>
      <c r="HY5" s="16" t="str">
        <f t="shared" ref="HY5" si="134">+HL5</f>
        <v>ม.ค.</v>
      </c>
      <c r="HZ5" s="16" t="str">
        <f t="shared" ref="HZ5" si="135">+HM5</f>
        <v>ก.พ.</v>
      </c>
      <c r="IA5" s="16" t="str">
        <f t="shared" ref="IA5" si="136">+HN5</f>
        <v>มี.ค.</v>
      </c>
      <c r="IB5" s="16" t="str">
        <f t="shared" ref="IB5" si="137">+HO5</f>
        <v>เม.ย.</v>
      </c>
      <c r="IC5" s="16" t="str">
        <f t="shared" ref="IC5" si="138">+HP5</f>
        <v>พ.ค.</v>
      </c>
      <c r="ID5" s="16" t="str">
        <f t="shared" ref="ID5" si="139">+HQ5</f>
        <v>มิ.ย.</v>
      </c>
      <c r="IE5" s="16" t="str">
        <f t="shared" ref="IE5" si="140">+HR5</f>
        <v>ก.ค.</v>
      </c>
      <c r="IF5" s="16" t="str">
        <f t="shared" ref="IF5" si="141">+HS5</f>
        <v>ส.ค.</v>
      </c>
      <c r="IG5" s="16" t="str">
        <f t="shared" ref="IG5" si="142">+HT5</f>
        <v>ก.ย.</v>
      </c>
      <c r="IH5" s="17" t="s">
        <v>16</v>
      </c>
      <c r="II5" s="88"/>
      <c r="IJ5" s="16" t="str">
        <f>+HV5</f>
        <v>ต.ค.</v>
      </c>
      <c r="IK5" s="16" t="str">
        <f t="shared" ref="IK5" si="143">+HW5</f>
        <v>พ.ย.</v>
      </c>
      <c r="IL5" s="16" t="str">
        <f t="shared" ref="IL5" si="144">+HX5</f>
        <v>ธ.ค.</v>
      </c>
      <c r="IM5" s="16" t="str">
        <f t="shared" ref="IM5" si="145">+HY5</f>
        <v>ม.ค.</v>
      </c>
      <c r="IN5" s="16" t="str">
        <f t="shared" ref="IN5" si="146">+HZ5</f>
        <v>ก.พ.</v>
      </c>
      <c r="IO5" s="16" t="str">
        <f t="shared" ref="IO5" si="147">+IA5</f>
        <v>มี.ค.</v>
      </c>
      <c r="IP5" s="16" t="str">
        <f t="shared" ref="IP5" si="148">+IB5</f>
        <v>เม.ย.</v>
      </c>
      <c r="IQ5" s="16" t="str">
        <f t="shared" ref="IQ5" si="149">+IC5</f>
        <v>พ.ค.</v>
      </c>
      <c r="IR5" s="16" t="str">
        <f t="shared" ref="IR5" si="150">+ID5</f>
        <v>มิ.ย.</v>
      </c>
      <c r="IS5" s="16" t="str">
        <f t="shared" ref="IS5" si="151">+IE5</f>
        <v>ก.ค.</v>
      </c>
      <c r="IT5" s="16" t="str">
        <f t="shared" ref="IT5" si="152">+IF5</f>
        <v>ส.ค.</v>
      </c>
      <c r="IU5" s="16" t="str">
        <f>+IG5</f>
        <v>ก.ย.</v>
      </c>
      <c r="IV5" s="17" t="s">
        <v>16</v>
      </c>
      <c r="IW5" s="16" t="str">
        <f>+IJ5</f>
        <v>ต.ค.</v>
      </c>
      <c r="IX5" s="16" t="str">
        <f t="shared" ref="IX5" si="153">+IK5</f>
        <v>พ.ย.</v>
      </c>
      <c r="IY5" s="16" t="str">
        <f t="shared" ref="IY5" si="154">+IL5</f>
        <v>ธ.ค.</v>
      </c>
      <c r="IZ5" s="16" t="str">
        <f t="shared" ref="IZ5" si="155">+IM5</f>
        <v>ม.ค.</v>
      </c>
      <c r="JA5" s="16" t="str">
        <f t="shared" ref="JA5" si="156">+IN5</f>
        <v>ก.พ.</v>
      </c>
      <c r="JB5" s="16" t="str">
        <f t="shared" ref="JB5" si="157">+IO5</f>
        <v>มี.ค.</v>
      </c>
      <c r="JC5" s="16" t="str">
        <f t="shared" ref="JC5" si="158">+IP5</f>
        <v>เม.ย.</v>
      </c>
      <c r="JD5" s="16" t="str">
        <f t="shared" ref="JD5" si="159">+IQ5</f>
        <v>พ.ค.</v>
      </c>
      <c r="JE5" s="16" t="str">
        <f t="shared" ref="JE5" si="160">+IR5</f>
        <v>มิ.ย.</v>
      </c>
      <c r="JF5" s="16" t="str">
        <f t="shared" ref="JF5" si="161">+IS5</f>
        <v>ก.ค.</v>
      </c>
      <c r="JG5" s="16" t="str">
        <f t="shared" ref="JG5" si="162">+IT5</f>
        <v>ส.ค.</v>
      </c>
      <c r="JH5" s="16" t="str">
        <f t="shared" ref="JH5" si="163">+IU5</f>
        <v>ก.ย.</v>
      </c>
      <c r="JI5" s="17" t="s">
        <v>16</v>
      </c>
      <c r="JJ5" s="16" t="str">
        <f>+IW5</f>
        <v>ต.ค.</v>
      </c>
      <c r="JK5" s="16" t="str">
        <f t="shared" ref="JK5" si="164">+IX5</f>
        <v>พ.ย.</v>
      </c>
      <c r="JL5" s="16" t="str">
        <f t="shared" ref="JL5" si="165">+IY5</f>
        <v>ธ.ค.</v>
      </c>
      <c r="JM5" s="16" t="str">
        <f t="shared" ref="JM5" si="166">+IZ5</f>
        <v>ม.ค.</v>
      </c>
      <c r="JN5" s="16" t="str">
        <f t="shared" ref="JN5" si="167">+JA5</f>
        <v>ก.พ.</v>
      </c>
      <c r="JO5" s="16" t="str">
        <f t="shared" ref="JO5" si="168">+JB5</f>
        <v>มี.ค.</v>
      </c>
      <c r="JP5" s="16" t="str">
        <f t="shared" ref="JP5" si="169">+JC5</f>
        <v>เม.ย.</v>
      </c>
      <c r="JQ5" s="16" t="str">
        <f t="shared" ref="JQ5" si="170">+JD5</f>
        <v>พ.ค.</v>
      </c>
      <c r="JR5" s="16" t="str">
        <f t="shared" ref="JR5" si="171">+JE5</f>
        <v>มิ.ย.</v>
      </c>
      <c r="JS5" s="16" t="str">
        <f t="shared" ref="JS5" si="172">+JF5</f>
        <v>ก.ค.</v>
      </c>
      <c r="JT5" s="16" t="str">
        <f t="shared" ref="JT5" si="173">+JG5</f>
        <v>ส.ค.</v>
      </c>
      <c r="JU5" s="16" t="str">
        <f t="shared" ref="JU5" si="174">+JH5</f>
        <v>ก.ย.</v>
      </c>
      <c r="JV5" s="17" t="s">
        <v>16</v>
      </c>
      <c r="JW5" s="88"/>
      <c r="JX5" s="16" t="str">
        <f>+JJ5</f>
        <v>ต.ค.</v>
      </c>
      <c r="JY5" s="16" t="str">
        <f t="shared" ref="JY5" si="175">+JK5</f>
        <v>พ.ย.</v>
      </c>
      <c r="JZ5" s="16" t="str">
        <f t="shared" ref="JZ5" si="176">+JL5</f>
        <v>ธ.ค.</v>
      </c>
      <c r="KA5" s="16" t="str">
        <f t="shared" ref="KA5" si="177">+JM5</f>
        <v>ม.ค.</v>
      </c>
      <c r="KB5" s="16" t="str">
        <f t="shared" ref="KB5" si="178">+JN5</f>
        <v>ก.พ.</v>
      </c>
      <c r="KC5" s="16" t="str">
        <f t="shared" ref="KC5" si="179">+JO5</f>
        <v>มี.ค.</v>
      </c>
      <c r="KD5" s="16" t="str">
        <f t="shared" ref="KD5" si="180">+JP5</f>
        <v>เม.ย.</v>
      </c>
      <c r="KE5" s="16" t="str">
        <f t="shared" ref="KE5" si="181">+JQ5</f>
        <v>พ.ค.</v>
      </c>
      <c r="KF5" s="16" t="str">
        <f t="shared" ref="KF5" si="182">+JR5</f>
        <v>มิ.ย.</v>
      </c>
      <c r="KG5" s="16" t="str">
        <f t="shared" ref="KG5" si="183">+JS5</f>
        <v>ก.ค.</v>
      </c>
      <c r="KH5" s="16" t="str">
        <f t="shared" ref="KH5" si="184">+JT5</f>
        <v>ส.ค.</v>
      </c>
      <c r="KI5" s="16" t="str">
        <f>+JU5</f>
        <v>ก.ย.</v>
      </c>
      <c r="KJ5" s="17" t="s">
        <v>16</v>
      </c>
      <c r="KK5" s="16" t="str">
        <f>+JX5</f>
        <v>ต.ค.</v>
      </c>
      <c r="KL5" s="16" t="str">
        <f t="shared" ref="KL5" si="185">+JY5</f>
        <v>พ.ย.</v>
      </c>
      <c r="KM5" s="16" t="str">
        <f t="shared" ref="KM5" si="186">+JZ5</f>
        <v>ธ.ค.</v>
      </c>
      <c r="KN5" s="16" t="str">
        <f t="shared" ref="KN5" si="187">+KA5</f>
        <v>ม.ค.</v>
      </c>
      <c r="KO5" s="16" t="str">
        <f t="shared" ref="KO5" si="188">+KB5</f>
        <v>ก.พ.</v>
      </c>
      <c r="KP5" s="16" t="str">
        <f t="shared" ref="KP5" si="189">+KC5</f>
        <v>มี.ค.</v>
      </c>
      <c r="KQ5" s="16" t="str">
        <f t="shared" ref="KQ5" si="190">+KD5</f>
        <v>เม.ย.</v>
      </c>
      <c r="KR5" s="16" t="str">
        <f t="shared" ref="KR5" si="191">+KE5</f>
        <v>พ.ค.</v>
      </c>
      <c r="KS5" s="16" t="str">
        <f t="shared" ref="KS5" si="192">+KF5</f>
        <v>มิ.ย.</v>
      </c>
      <c r="KT5" s="16" t="str">
        <f t="shared" ref="KT5" si="193">+KG5</f>
        <v>ก.ค.</v>
      </c>
      <c r="KU5" s="16" t="str">
        <f t="shared" ref="KU5" si="194">+KH5</f>
        <v>ส.ค.</v>
      </c>
      <c r="KV5" s="16" t="str">
        <f t="shared" ref="KV5" si="195">+KI5</f>
        <v>ก.ย.</v>
      </c>
      <c r="KW5" s="17" t="s">
        <v>16</v>
      </c>
      <c r="KX5" s="16" t="str">
        <f>+KK5</f>
        <v>ต.ค.</v>
      </c>
      <c r="KY5" s="16" t="str">
        <f t="shared" ref="KY5" si="196">+KL5</f>
        <v>พ.ย.</v>
      </c>
      <c r="KZ5" s="16" t="str">
        <f t="shared" ref="KZ5" si="197">+KM5</f>
        <v>ธ.ค.</v>
      </c>
      <c r="LA5" s="16" t="str">
        <f t="shared" ref="LA5" si="198">+KN5</f>
        <v>ม.ค.</v>
      </c>
      <c r="LB5" s="16" t="str">
        <f t="shared" ref="LB5" si="199">+KO5</f>
        <v>ก.พ.</v>
      </c>
      <c r="LC5" s="16" t="str">
        <f t="shared" ref="LC5" si="200">+KP5</f>
        <v>มี.ค.</v>
      </c>
      <c r="LD5" s="16" t="str">
        <f t="shared" ref="LD5" si="201">+KQ5</f>
        <v>เม.ย.</v>
      </c>
      <c r="LE5" s="16" t="str">
        <f t="shared" ref="LE5" si="202">+KR5</f>
        <v>พ.ค.</v>
      </c>
      <c r="LF5" s="16" t="str">
        <f t="shared" ref="LF5" si="203">+KS5</f>
        <v>มิ.ย.</v>
      </c>
      <c r="LG5" s="16" t="str">
        <f t="shared" ref="LG5" si="204">+KT5</f>
        <v>ก.ค.</v>
      </c>
      <c r="LH5" s="16" t="str">
        <f t="shared" ref="LH5" si="205">+KU5</f>
        <v>ส.ค.</v>
      </c>
      <c r="LI5" s="16" t="str">
        <f t="shared" ref="LI5" si="206">+KV5</f>
        <v>ก.ย.</v>
      </c>
      <c r="LJ5" s="17" t="s">
        <v>16</v>
      </c>
      <c r="LK5" s="88"/>
      <c r="LL5" s="16" t="str">
        <f>+KX5</f>
        <v>ต.ค.</v>
      </c>
      <c r="LM5" s="16" t="str">
        <f t="shared" ref="LM5" si="207">+KY5</f>
        <v>พ.ย.</v>
      </c>
      <c r="LN5" s="16" t="str">
        <f t="shared" ref="LN5" si="208">+KZ5</f>
        <v>ธ.ค.</v>
      </c>
      <c r="LO5" s="16" t="str">
        <f t="shared" ref="LO5" si="209">+LA5</f>
        <v>ม.ค.</v>
      </c>
      <c r="LP5" s="16" t="str">
        <f t="shared" ref="LP5" si="210">+LB5</f>
        <v>ก.พ.</v>
      </c>
      <c r="LQ5" s="16" t="str">
        <f t="shared" ref="LQ5" si="211">+LC5</f>
        <v>มี.ค.</v>
      </c>
      <c r="LR5" s="16" t="str">
        <f t="shared" ref="LR5" si="212">+LD5</f>
        <v>เม.ย.</v>
      </c>
      <c r="LS5" s="16" t="str">
        <f t="shared" ref="LS5" si="213">+LE5</f>
        <v>พ.ค.</v>
      </c>
      <c r="LT5" s="16" t="str">
        <f t="shared" ref="LT5" si="214">+LF5</f>
        <v>มิ.ย.</v>
      </c>
      <c r="LU5" s="16" t="str">
        <f t="shared" ref="LU5" si="215">+LG5</f>
        <v>ก.ค.</v>
      </c>
      <c r="LV5" s="16" t="str">
        <f t="shared" ref="LV5" si="216">+LH5</f>
        <v>ส.ค.</v>
      </c>
      <c r="LW5" s="16" t="str">
        <f>+LI5</f>
        <v>ก.ย.</v>
      </c>
      <c r="LX5" s="17" t="s">
        <v>16</v>
      </c>
      <c r="LY5" s="16" t="str">
        <f>+LL5</f>
        <v>ต.ค.</v>
      </c>
      <c r="LZ5" s="16" t="str">
        <f t="shared" ref="LZ5" si="217">+LM5</f>
        <v>พ.ย.</v>
      </c>
      <c r="MA5" s="16" t="str">
        <f t="shared" ref="MA5" si="218">+LN5</f>
        <v>ธ.ค.</v>
      </c>
      <c r="MB5" s="16" t="str">
        <f t="shared" ref="MB5" si="219">+LO5</f>
        <v>ม.ค.</v>
      </c>
      <c r="MC5" s="16" t="str">
        <f t="shared" ref="MC5" si="220">+LP5</f>
        <v>ก.พ.</v>
      </c>
      <c r="MD5" s="16" t="str">
        <f t="shared" ref="MD5" si="221">+LQ5</f>
        <v>มี.ค.</v>
      </c>
      <c r="ME5" s="16" t="str">
        <f t="shared" ref="ME5" si="222">+LR5</f>
        <v>เม.ย.</v>
      </c>
      <c r="MF5" s="16" t="str">
        <f t="shared" ref="MF5" si="223">+LS5</f>
        <v>พ.ค.</v>
      </c>
      <c r="MG5" s="16" t="str">
        <f t="shared" ref="MG5" si="224">+LT5</f>
        <v>มิ.ย.</v>
      </c>
      <c r="MH5" s="16" t="str">
        <f t="shared" ref="MH5" si="225">+LU5</f>
        <v>ก.ค.</v>
      </c>
      <c r="MI5" s="16" t="str">
        <f t="shared" ref="MI5" si="226">+LV5</f>
        <v>ส.ค.</v>
      </c>
      <c r="MJ5" s="16" t="str">
        <f t="shared" ref="MJ5" si="227">+LW5</f>
        <v>ก.ย.</v>
      </c>
      <c r="MK5" s="17" t="s">
        <v>16</v>
      </c>
      <c r="ML5" s="16" t="str">
        <f>+LY5</f>
        <v>ต.ค.</v>
      </c>
      <c r="MM5" s="16" t="str">
        <f t="shared" ref="MM5" si="228">+LZ5</f>
        <v>พ.ย.</v>
      </c>
      <c r="MN5" s="16" t="str">
        <f t="shared" ref="MN5" si="229">+MA5</f>
        <v>ธ.ค.</v>
      </c>
      <c r="MO5" s="16" t="str">
        <f t="shared" ref="MO5" si="230">+MB5</f>
        <v>ม.ค.</v>
      </c>
      <c r="MP5" s="16" t="str">
        <f t="shared" ref="MP5" si="231">+MC5</f>
        <v>ก.พ.</v>
      </c>
      <c r="MQ5" s="16" t="str">
        <f t="shared" ref="MQ5" si="232">+MD5</f>
        <v>มี.ค.</v>
      </c>
      <c r="MR5" s="16" t="str">
        <f t="shared" ref="MR5" si="233">+ME5</f>
        <v>เม.ย.</v>
      </c>
      <c r="MS5" s="16" t="str">
        <f t="shared" ref="MS5" si="234">+MF5</f>
        <v>พ.ค.</v>
      </c>
      <c r="MT5" s="16" t="str">
        <f t="shared" ref="MT5" si="235">+MG5</f>
        <v>มิ.ย.</v>
      </c>
      <c r="MU5" s="16" t="str">
        <f t="shared" ref="MU5" si="236">+MH5</f>
        <v>ก.ค.</v>
      </c>
      <c r="MV5" s="16" t="str">
        <f t="shared" ref="MV5" si="237">+MI5</f>
        <v>ส.ค.</v>
      </c>
      <c r="MW5" s="16" t="str">
        <f t="shared" ref="MW5" si="238">+MJ5</f>
        <v>ก.ย.</v>
      </c>
      <c r="MX5" s="17" t="s">
        <v>16</v>
      </c>
      <c r="MY5" s="88"/>
      <c r="MZ5" s="16" t="str">
        <f>+ML5</f>
        <v>ต.ค.</v>
      </c>
      <c r="NA5" s="16" t="str">
        <f t="shared" ref="NA5" si="239">+MM5</f>
        <v>พ.ย.</v>
      </c>
      <c r="NB5" s="16" t="str">
        <f t="shared" ref="NB5" si="240">+MN5</f>
        <v>ธ.ค.</v>
      </c>
      <c r="NC5" s="16" t="str">
        <f t="shared" ref="NC5" si="241">+MO5</f>
        <v>ม.ค.</v>
      </c>
      <c r="ND5" s="16" t="str">
        <f t="shared" ref="ND5" si="242">+MP5</f>
        <v>ก.พ.</v>
      </c>
      <c r="NE5" s="16" t="str">
        <f t="shared" ref="NE5" si="243">+MQ5</f>
        <v>มี.ค.</v>
      </c>
      <c r="NF5" s="16" t="str">
        <f t="shared" ref="NF5" si="244">+MR5</f>
        <v>เม.ย.</v>
      </c>
      <c r="NG5" s="16" t="str">
        <f t="shared" ref="NG5" si="245">+MS5</f>
        <v>พ.ค.</v>
      </c>
      <c r="NH5" s="16" t="str">
        <f t="shared" ref="NH5" si="246">+MT5</f>
        <v>มิ.ย.</v>
      </c>
      <c r="NI5" s="16" t="str">
        <f t="shared" ref="NI5" si="247">+MU5</f>
        <v>ก.ค.</v>
      </c>
      <c r="NJ5" s="16" t="str">
        <f t="shared" ref="NJ5" si="248">+MV5</f>
        <v>ส.ค.</v>
      </c>
      <c r="NK5" s="16" t="str">
        <f>+MW5</f>
        <v>ก.ย.</v>
      </c>
      <c r="NL5" s="17" t="s">
        <v>16</v>
      </c>
      <c r="NM5" s="16" t="str">
        <f>+MZ5</f>
        <v>ต.ค.</v>
      </c>
      <c r="NN5" s="16" t="str">
        <f t="shared" ref="NN5" si="249">+NA5</f>
        <v>พ.ย.</v>
      </c>
      <c r="NO5" s="16" t="str">
        <f t="shared" ref="NO5" si="250">+NB5</f>
        <v>ธ.ค.</v>
      </c>
      <c r="NP5" s="16" t="str">
        <f t="shared" ref="NP5" si="251">+NC5</f>
        <v>ม.ค.</v>
      </c>
      <c r="NQ5" s="16" t="str">
        <f t="shared" ref="NQ5" si="252">+ND5</f>
        <v>ก.พ.</v>
      </c>
      <c r="NR5" s="16" t="str">
        <f t="shared" ref="NR5" si="253">+NE5</f>
        <v>มี.ค.</v>
      </c>
      <c r="NS5" s="16" t="str">
        <f t="shared" ref="NS5" si="254">+NF5</f>
        <v>เม.ย.</v>
      </c>
      <c r="NT5" s="16" t="str">
        <f t="shared" ref="NT5" si="255">+NG5</f>
        <v>พ.ค.</v>
      </c>
      <c r="NU5" s="16" t="str">
        <f t="shared" ref="NU5" si="256">+NH5</f>
        <v>มิ.ย.</v>
      </c>
      <c r="NV5" s="16" t="str">
        <f t="shared" ref="NV5" si="257">+NI5</f>
        <v>ก.ค.</v>
      </c>
      <c r="NW5" s="16" t="str">
        <f t="shared" ref="NW5" si="258">+NJ5</f>
        <v>ส.ค.</v>
      </c>
      <c r="NX5" s="16" t="str">
        <f t="shared" ref="NX5" si="259">+NK5</f>
        <v>ก.ย.</v>
      </c>
      <c r="NY5" s="17" t="s">
        <v>16</v>
      </c>
      <c r="NZ5" s="16" t="str">
        <f>+NM5</f>
        <v>ต.ค.</v>
      </c>
      <c r="OA5" s="16" t="str">
        <f t="shared" ref="OA5" si="260">+NN5</f>
        <v>พ.ย.</v>
      </c>
      <c r="OB5" s="16" t="str">
        <f t="shared" ref="OB5" si="261">+NO5</f>
        <v>ธ.ค.</v>
      </c>
      <c r="OC5" s="16" t="str">
        <f t="shared" ref="OC5" si="262">+NP5</f>
        <v>ม.ค.</v>
      </c>
      <c r="OD5" s="16" t="str">
        <f t="shared" ref="OD5" si="263">+NQ5</f>
        <v>ก.พ.</v>
      </c>
      <c r="OE5" s="16" t="str">
        <f t="shared" ref="OE5" si="264">+NR5</f>
        <v>มี.ค.</v>
      </c>
      <c r="OF5" s="16" t="str">
        <f t="shared" ref="OF5" si="265">+NS5</f>
        <v>เม.ย.</v>
      </c>
      <c r="OG5" s="16" t="str">
        <f t="shared" ref="OG5" si="266">+NT5</f>
        <v>พ.ค.</v>
      </c>
      <c r="OH5" s="16" t="str">
        <f t="shared" ref="OH5" si="267">+NU5</f>
        <v>มิ.ย.</v>
      </c>
      <c r="OI5" s="16" t="str">
        <f t="shared" ref="OI5" si="268">+NV5</f>
        <v>ก.ค.</v>
      </c>
      <c r="OJ5" s="16" t="str">
        <f t="shared" ref="OJ5" si="269">+NW5</f>
        <v>ส.ค.</v>
      </c>
      <c r="OK5" s="16" t="str">
        <f t="shared" ref="OK5" si="270">+NX5</f>
        <v>ก.ย.</v>
      </c>
      <c r="OL5" s="17" t="s">
        <v>16</v>
      </c>
      <c r="OM5" s="88"/>
      <c r="ON5" s="16" t="str">
        <f>+NZ5</f>
        <v>ต.ค.</v>
      </c>
      <c r="OO5" s="16" t="str">
        <f t="shared" ref="OO5" si="271">+OA5</f>
        <v>พ.ย.</v>
      </c>
      <c r="OP5" s="16" t="str">
        <f t="shared" ref="OP5" si="272">+OB5</f>
        <v>ธ.ค.</v>
      </c>
      <c r="OQ5" s="16" t="str">
        <f t="shared" ref="OQ5" si="273">+OC5</f>
        <v>ม.ค.</v>
      </c>
      <c r="OR5" s="16" t="str">
        <f t="shared" ref="OR5" si="274">+OD5</f>
        <v>ก.พ.</v>
      </c>
      <c r="OS5" s="16" t="str">
        <f t="shared" ref="OS5" si="275">+OE5</f>
        <v>มี.ค.</v>
      </c>
      <c r="OT5" s="16" t="str">
        <f t="shared" ref="OT5" si="276">+OF5</f>
        <v>เม.ย.</v>
      </c>
      <c r="OU5" s="16" t="str">
        <f t="shared" ref="OU5" si="277">+OG5</f>
        <v>พ.ค.</v>
      </c>
      <c r="OV5" s="16" t="str">
        <f t="shared" ref="OV5" si="278">+OH5</f>
        <v>มิ.ย.</v>
      </c>
      <c r="OW5" s="16" t="str">
        <f t="shared" ref="OW5" si="279">+OI5</f>
        <v>ก.ค.</v>
      </c>
      <c r="OX5" s="16" t="str">
        <f t="shared" ref="OX5" si="280">+OJ5</f>
        <v>ส.ค.</v>
      </c>
      <c r="OY5" s="16" t="str">
        <f>+OK5</f>
        <v>ก.ย.</v>
      </c>
      <c r="OZ5" s="17" t="s">
        <v>16</v>
      </c>
      <c r="PA5" s="16" t="str">
        <f>+ON5</f>
        <v>ต.ค.</v>
      </c>
      <c r="PB5" s="16" t="str">
        <f t="shared" ref="PB5" si="281">+OO5</f>
        <v>พ.ย.</v>
      </c>
      <c r="PC5" s="16" t="str">
        <f t="shared" ref="PC5" si="282">+OP5</f>
        <v>ธ.ค.</v>
      </c>
      <c r="PD5" s="16" t="str">
        <f t="shared" ref="PD5" si="283">+OQ5</f>
        <v>ม.ค.</v>
      </c>
      <c r="PE5" s="16" t="str">
        <f t="shared" ref="PE5" si="284">+OR5</f>
        <v>ก.พ.</v>
      </c>
      <c r="PF5" s="16" t="str">
        <f t="shared" ref="PF5" si="285">+OS5</f>
        <v>มี.ค.</v>
      </c>
      <c r="PG5" s="16" t="str">
        <f t="shared" ref="PG5" si="286">+OT5</f>
        <v>เม.ย.</v>
      </c>
      <c r="PH5" s="16" t="str">
        <f t="shared" ref="PH5" si="287">+OU5</f>
        <v>พ.ค.</v>
      </c>
      <c r="PI5" s="16" t="str">
        <f t="shared" ref="PI5" si="288">+OV5</f>
        <v>มิ.ย.</v>
      </c>
      <c r="PJ5" s="16" t="str">
        <f t="shared" ref="PJ5" si="289">+OW5</f>
        <v>ก.ค.</v>
      </c>
      <c r="PK5" s="16" t="str">
        <f t="shared" ref="PK5" si="290">+OX5</f>
        <v>ส.ค.</v>
      </c>
      <c r="PL5" s="16" t="str">
        <f t="shared" ref="PL5" si="291">+OY5</f>
        <v>ก.ย.</v>
      </c>
      <c r="PM5" s="17" t="s">
        <v>16</v>
      </c>
      <c r="PN5" s="16" t="str">
        <f>+PA5</f>
        <v>ต.ค.</v>
      </c>
      <c r="PO5" s="16" t="str">
        <f t="shared" ref="PO5" si="292">+PB5</f>
        <v>พ.ย.</v>
      </c>
      <c r="PP5" s="16" t="str">
        <f t="shared" ref="PP5" si="293">+PC5</f>
        <v>ธ.ค.</v>
      </c>
      <c r="PQ5" s="16" t="str">
        <f t="shared" ref="PQ5" si="294">+PD5</f>
        <v>ม.ค.</v>
      </c>
      <c r="PR5" s="16" t="str">
        <f t="shared" ref="PR5" si="295">+PE5</f>
        <v>ก.พ.</v>
      </c>
      <c r="PS5" s="16" t="str">
        <f t="shared" ref="PS5" si="296">+PF5</f>
        <v>มี.ค.</v>
      </c>
      <c r="PT5" s="16" t="str">
        <f t="shared" ref="PT5" si="297">+PG5</f>
        <v>เม.ย.</v>
      </c>
      <c r="PU5" s="16" t="str">
        <f t="shared" ref="PU5" si="298">+PH5</f>
        <v>พ.ค.</v>
      </c>
      <c r="PV5" s="16" t="str">
        <f t="shared" ref="PV5" si="299">+PI5</f>
        <v>มิ.ย.</v>
      </c>
      <c r="PW5" s="16" t="str">
        <f t="shared" ref="PW5" si="300">+PJ5</f>
        <v>ก.ค.</v>
      </c>
      <c r="PX5" s="16" t="str">
        <f t="shared" ref="PX5" si="301">+PK5</f>
        <v>ส.ค.</v>
      </c>
      <c r="PY5" s="16" t="str">
        <f t="shared" ref="PY5" si="302">+PL5</f>
        <v>ก.ย.</v>
      </c>
      <c r="PZ5" s="17" t="s">
        <v>16</v>
      </c>
      <c r="QA5" s="88"/>
      <c r="QB5" s="16" t="str">
        <f>+PN5</f>
        <v>ต.ค.</v>
      </c>
      <c r="QC5" s="16" t="str">
        <f t="shared" ref="QC5" si="303">+PO5</f>
        <v>พ.ย.</v>
      </c>
      <c r="QD5" s="16" t="str">
        <f t="shared" ref="QD5" si="304">+PP5</f>
        <v>ธ.ค.</v>
      </c>
      <c r="QE5" s="16" t="str">
        <f t="shared" ref="QE5" si="305">+PQ5</f>
        <v>ม.ค.</v>
      </c>
      <c r="QF5" s="16" t="str">
        <f t="shared" ref="QF5" si="306">+PR5</f>
        <v>ก.พ.</v>
      </c>
      <c r="QG5" s="16" t="str">
        <f t="shared" ref="QG5" si="307">+PS5</f>
        <v>มี.ค.</v>
      </c>
      <c r="QH5" s="16" t="str">
        <f t="shared" ref="QH5" si="308">+PT5</f>
        <v>เม.ย.</v>
      </c>
      <c r="QI5" s="16" t="str">
        <f t="shared" ref="QI5" si="309">+PU5</f>
        <v>พ.ค.</v>
      </c>
      <c r="QJ5" s="16" t="str">
        <f t="shared" ref="QJ5" si="310">+PV5</f>
        <v>มิ.ย.</v>
      </c>
      <c r="QK5" s="16" t="str">
        <f t="shared" ref="QK5" si="311">+PW5</f>
        <v>ก.ค.</v>
      </c>
      <c r="QL5" s="16" t="str">
        <f t="shared" ref="QL5" si="312">+PX5</f>
        <v>ส.ค.</v>
      </c>
      <c r="QM5" s="16" t="str">
        <f>+PY5</f>
        <v>ก.ย.</v>
      </c>
      <c r="QN5" s="17" t="s">
        <v>16</v>
      </c>
      <c r="QO5" s="16" t="str">
        <f>+QB5</f>
        <v>ต.ค.</v>
      </c>
      <c r="QP5" s="16" t="str">
        <f t="shared" ref="QP5" si="313">+QC5</f>
        <v>พ.ย.</v>
      </c>
      <c r="QQ5" s="16" t="str">
        <f t="shared" ref="QQ5" si="314">+QD5</f>
        <v>ธ.ค.</v>
      </c>
      <c r="QR5" s="16" t="str">
        <f t="shared" ref="QR5" si="315">+QE5</f>
        <v>ม.ค.</v>
      </c>
      <c r="QS5" s="16" t="str">
        <f t="shared" ref="QS5" si="316">+QF5</f>
        <v>ก.พ.</v>
      </c>
      <c r="QT5" s="16" t="str">
        <f t="shared" ref="QT5" si="317">+QG5</f>
        <v>มี.ค.</v>
      </c>
      <c r="QU5" s="16" t="str">
        <f t="shared" ref="QU5" si="318">+QH5</f>
        <v>เม.ย.</v>
      </c>
      <c r="QV5" s="16" t="str">
        <f t="shared" ref="QV5" si="319">+QI5</f>
        <v>พ.ค.</v>
      </c>
      <c r="QW5" s="16" t="str">
        <f t="shared" ref="QW5" si="320">+QJ5</f>
        <v>มิ.ย.</v>
      </c>
      <c r="QX5" s="16" t="str">
        <f t="shared" ref="QX5" si="321">+QK5</f>
        <v>ก.ค.</v>
      </c>
      <c r="QY5" s="16" t="str">
        <f t="shared" ref="QY5" si="322">+QL5</f>
        <v>ส.ค.</v>
      </c>
      <c r="QZ5" s="16" t="str">
        <f t="shared" ref="QZ5" si="323">+QM5</f>
        <v>ก.ย.</v>
      </c>
      <c r="RA5" s="17" t="s">
        <v>16</v>
      </c>
      <c r="RB5" s="16" t="str">
        <f>+QO5</f>
        <v>ต.ค.</v>
      </c>
      <c r="RC5" s="16" t="str">
        <f t="shared" ref="RC5" si="324">+QP5</f>
        <v>พ.ย.</v>
      </c>
      <c r="RD5" s="16" t="str">
        <f t="shared" ref="RD5" si="325">+QQ5</f>
        <v>ธ.ค.</v>
      </c>
      <c r="RE5" s="16" t="str">
        <f t="shared" ref="RE5" si="326">+QR5</f>
        <v>ม.ค.</v>
      </c>
      <c r="RF5" s="16" t="str">
        <f t="shared" ref="RF5" si="327">+QS5</f>
        <v>ก.พ.</v>
      </c>
      <c r="RG5" s="16" t="str">
        <f t="shared" ref="RG5" si="328">+QT5</f>
        <v>มี.ค.</v>
      </c>
      <c r="RH5" s="16" t="str">
        <f t="shared" ref="RH5" si="329">+QU5</f>
        <v>เม.ย.</v>
      </c>
      <c r="RI5" s="16" t="str">
        <f t="shared" ref="RI5" si="330">+QV5</f>
        <v>พ.ค.</v>
      </c>
      <c r="RJ5" s="16" t="str">
        <f t="shared" ref="RJ5" si="331">+QW5</f>
        <v>มิ.ย.</v>
      </c>
      <c r="RK5" s="16" t="str">
        <f t="shared" ref="RK5" si="332">+QX5</f>
        <v>ก.ค.</v>
      </c>
      <c r="RL5" s="16" t="str">
        <f t="shared" ref="RL5" si="333">+QY5</f>
        <v>ส.ค.</v>
      </c>
      <c r="RM5" s="16" t="str">
        <f t="shared" ref="RM5" si="334">+QZ5</f>
        <v>ก.ย.</v>
      </c>
      <c r="RN5" s="17" t="s">
        <v>16</v>
      </c>
      <c r="RO5" s="88"/>
      <c r="RP5" s="16" t="str">
        <f>+RB5</f>
        <v>ต.ค.</v>
      </c>
      <c r="RQ5" s="16" t="str">
        <f t="shared" ref="RQ5" si="335">+RC5</f>
        <v>พ.ย.</v>
      </c>
      <c r="RR5" s="16" t="str">
        <f t="shared" ref="RR5" si="336">+RD5</f>
        <v>ธ.ค.</v>
      </c>
      <c r="RS5" s="16" t="str">
        <f t="shared" ref="RS5" si="337">+RE5</f>
        <v>ม.ค.</v>
      </c>
      <c r="RT5" s="16" t="str">
        <f t="shared" ref="RT5" si="338">+RF5</f>
        <v>ก.พ.</v>
      </c>
      <c r="RU5" s="16" t="str">
        <f t="shared" ref="RU5" si="339">+RG5</f>
        <v>มี.ค.</v>
      </c>
      <c r="RV5" s="16" t="str">
        <f t="shared" ref="RV5" si="340">+RH5</f>
        <v>เม.ย.</v>
      </c>
      <c r="RW5" s="16" t="str">
        <f t="shared" ref="RW5" si="341">+RI5</f>
        <v>พ.ค.</v>
      </c>
      <c r="RX5" s="16" t="str">
        <f t="shared" ref="RX5" si="342">+RJ5</f>
        <v>มิ.ย.</v>
      </c>
      <c r="RY5" s="16" t="str">
        <f t="shared" ref="RY5" si="343">+RK5</f>
        <v>ก.ค.</v>
      </c>
      <c r="RZ5" s="16" t="str">
        <f t="shared" ref="RZ5" si="344">+RL5</f>
        <v>ส.ค.</v>
      </c>
      <c r="SA5" s="16" t="str">
        <f>+RM5</f>
        <v>ก.ย.</v>
      </c>
      <c r="SB5" s="17" t="s">
        <v>16</v>
      </c>
      <c r="SC5" s="16" t="str">
        <f>+RP5</f>
        <v>ต.ค.</v>
      </c>
      <c r="SD5" s="16" t="str">
        <f t="shared" ref="SD5" si="345">+RQ5</f>
        <v>พ.ย.</v>
      </c>
      <c r="SE5" s="16" t="str">
        <f t="shared" ref="SE5" si="346">+RR5</f>
        <v>ธ.ค.</v>
      </c>
      <c r="SF5" s="16" t="str">
        <f t="shared" ref="SF5" si="347">+RS5</f>
        <v>ม.ค.</v>
      </c>
      <c r="SG5" s="16" t="str">
        <f t="shared" ref="SG5" si="348">+RT5</f>
        <v>ก.พ.</v>
      </c>
      <c r="SH5" s="16" t="str">
        <f t="shared" ref="SH5" si="349">+RU5</f>
        <v>มี.ค.</v>
      </c>
      <c r="SI5" s="16" t="str">
        <f t="shared" ref="SI5" si="350">+RV5</f>
        <v>เม.ย.</v>
      </c>
      <c r="SJ5" s="16" t="str">
        <f t="shared" ref="SJ5" si="351">+RW5</f>
        <v>พ.ค.</v>
      </c>
      <c r="SK5" s="16" t="str">
        <f t="shared" ref="SK5" si="352">+RX5</f>
        <v>มิ.ย.</v>
      </c>
      <c r="SL5" s="16" t="str">
        <f t="shared" ref="SL5" si="353">+RY5</f>
        <v>ก.ค.</v>
      </c>
      <c r="SM5" s="16" t="str">
        <f t="shared" ref="SM5" si="354">+RZ5</f>
        <v>ส.ค.</v>
      </c>
      <c r="SN5" s="16" t="str">
        <f t="shared" ref="SN5" si="355">+SA5</f>
        <v>ก.ย.</v>
      </c>
      <c r="SO5" s="17" t="s">
        <v>16</v>
      </c>
      <c r="SP5" s="16" t="str">
        <f>+SC5</f>
        <v>ต.ค.</v>
      </c>
      <c r="SQ5" s="16" t="str">
        <f t="shared" ref="SQ5" si="356">+SD5</f>
        <v>พ.ย.</v>
      </c>
      <c r="SR5" s="16" t="str">
        <f t="shared" ref="SR5" si="357">+SE5</f>
        <v>ธ.ค.</v>
      </c>
      <c r="SS5" s="16" t="str">
        <f t="shared" ref="SS5" si="358">+SF5</f>
        <v>ม.ค.</v>
      </c>
      <c r="ST5" s="16" t="str">
        <f t="shared" ref="ST5" si="359">+SG5</f>
        <v>ก.พ.</v>
      </c>
      <c r="SU5" s="16" t="str">
        <f t="shared" ref="SU5" si="360">+SH5</f>
        <v>มี.ค.</v>
      </c>
      <c r="SV5" s="16" t="str">
        <f t="shared" ref="SV5" si="361">+SI5</f>
        <v>เม.ย.</v>
      </c>
      <c r="SW5" s="16" t="str">
        <f t="shared" ref="SW5" si="362">+SJ5</f>
        <v>พ.ค.</v>
      </c>
      <c r="SX5" s="16" t="str">
        <f t="shared" ref="SX5" si="363">+SK5</f>
        <v>มิ.ย.</v>
      </c>
      <c r="SY5" s="16" t="str">
        <f t="shared" ref="SY5" si="364">+SL5</f>
        <v>ก.ค.</v>
      </c>
      <c r="SZ5" s="16" t="str">
        <f t="shared" ref="SZ5" si="365">+SM5</f>
        <v>ส.ค.</v>
      </c>
      <c r="TA5" s="16" t="str">
        <f t="shared" ref="TA5" si="366">+SN5</f>
        <v>ก.ย.</v>
      </c>
      <c r="TB5" s="17" t="s">
        <v>16</v>
      </c>
      <c r="TC5" s="88"/>
      <c r="TD5" s="16" t="str">
        <f>+SP5</f>
        <v>ต.ค.</v>
      </c>
      <c r="TE5" s="16" t="str">
        <f t="shared" ref="TE5" si="367">+SQ5</f>
        <v>พ.ย.</v>
      </c>
      <c r="TF5" s="16" t="str">
        <f t="shared" ref="TF5" si="368">+SR5</f>
        <v>ธ.ค.</v>
      </c>
      <c r="TG5" s="16" t="str">
        <f t="shared" ref="TG5" si="369">+SS5</f>
        <v>ม.ค.</v>
      </c>
      <c r="TH5" s="16" t="str">
        <f t="shared" ref="TH5" si="370">+ST5</f>
        <v>ก.พ.</v>
      </c>
      <c r="TI5" s="16" t="str">
        <f t="shared" ref="TI5" si="371">+SU5</f>
        <v>มี.ค.</v>
      </c>
      <c r="TJ5" s="16" t="str">
        <f t="shared" ref="TJ5" si="372">+SV5</f>
        <v>เม.ย.</v>
      </c>
      <c r="TK5" s="16" t="str">
        <f t="shared" ref="TK5" si="373">+SW5</f>
        <v>พ.ค.</v>
      </c>
      <c r="TL5" s="16" t="str">
        <f t="shared" ref="TL5" si="374">+SX5</f>
        <v>มิ.ย.</v>
      </c>
      <c r="TM5" s="16" t="str">
        <f t="shared" ref="TM5" si="375">+SY5</f>
        <v>ก.ค.</v>
      </c>
      <c r="TN5" s="16" t="str">
        <f t="shared" ref="TN5" si="376">+SZ5</f>
        <v>ส.ค.</v>
      </c>
      <c r="TO5" s="16" t="str">
        <f>+TA5</f>
        <v>ก.ย.</v>
      </c>
      <c r="TP5" s="17" t="s">
        <v>16</v>
      </c>
      <c r="TQ5" s="16" t="str">
        <f>+TD5</f>
        <v>ต.ค.</v>
      </c>
      <c r="TR5" s="16" t="str">
        <f t="shared" ref="TR5" si="377">+TE5</f>
        <v>พ.ย.</v>
      </c>
      <c r="TS5" s="16" t="str">
        <f t="shared" ref="TS5" si="378">+TF5</f>
        <v>ธ.ค.</v>
      </c>
      <c r="TT5" s="16" t="str">
        <f t="shared" ref="TT5" si="379">+TG5</f>
        <v>ม.ค.</v>
      </c>
      <c r="TU5" s="16" t="str">
        <f t="shared" ref="TU5" si="380">+TH5</f>
        <v>ก.พ.</v>
      </c>
      <c r="TV5" s="16" t="str">
        <f t="shared" ref="TV5" si="381">+TI5</f>
        <v>มี.ค.</v>
      </c>
      <c r="TW5" s="16" t="str">
        <f t="shared" ref="TW5" si="382">+TJ5</f>
        <v>เม.ย.</v>
      </c>
      <c r="TX5" s="16" t="str">
        <f t="shared" ref="TX5" si="383">+TK5</f>
        <v>พ.ค.</v>
      </c>
      <c r="TY5" s="16" t="str">
        <f t="shared" ref="TY5" si="384">+TL5</f>
        <v>มิ.ย.</v>
      </c>
      <c r="TZ5" s="16" t="str">
        <f t="shared" ref="TZ5" si="385">+TM5</f>
        <v>ก.ค.</v>
      </c>
      <c r="UA5" s="16" t="str">
        <f t="shared" ref="UA5" si="386">+TN5</f>
        <v>ส.ค.</v>
      </c>
      <c r="UB5" s="16" t="str">
        <f t="shared" ref="UB5" si="387">+TO5</f>
        <v>ก.ย.</v>
      </c>
      <c r="UC5" s="17" t="s">
        <v>16</v>
      </c>
      <c r="UD5" s="16" t="str">
        <f>+TQ5</f>
        <v>ต.ค.</v>
      </c>
      <c r="UE5" s="16" t="str">
        <f t="shared" ref="UE5" si="388">+TR5</f>
        <v>พ.ย.</v>
      </c>
      <c r="UF5" s="16" t="str">
        <f t="shared" ref="UF5" si="389">+TS5</f>
        <v>ธ.ค.</v>
      </c>
      <c r="UG5" s="16" t="str">
        <f t="shared" ref="UG5" si="390">+TT5</f>
        <v>ม.ค.</v>
      </c>
      <c r="UH5" s="16" t="str">
        <f t="shared" ref="UH5" si="391">+TU5</f>
        <v>ก.พ.</v>
      </c>
      <c r="UI5" s="16" t="str">
        <f t="shared" ref="UI5" si="392">+TV5</f>
        <v>มี.ค.</v>
      </c>
      <c r="UJ5" s="16" t="str">
        <f t="shared" ref="UJ5" si="393">+TW5</f>
        <v>เม.ย.</v>
      </c>
      <c r="UK5" s="16" t="str">
        <f t="shared" ref="UK5" si="394">+TX5</f>
        <v>พ.ค.</v>
      </c>
      <c r="UL5" s="16" t="str">
        <f t="shared" ref="UL5" si="395">+TY5</f>
        <v>มิ.ย.</v>
      </c>
      <c r="UM5" s="16" t="str">
        <f t="shared" ref="UM5" si="396">+TZ5</f>
        <v>ก.ค.</v>
      </c>
      <c r="UN5" s="16" t="str">
        <f t="shared" ref="UN5" si="397">+UA5</f>
        <v>ส.ค.</v>
      </c>
      <c r="UO5" s="16" t="str">
        <f t="shared" ref="UO5" si="398">+UB5</f>
        <v>ก.ย.</v>
      </c>
      <c r="UP5" s="17" t="s">
        <v>16</v>
      </c>
      <c r="UQ5" s="88"/>
      <c r="UR5" s="16" t="str">
        <f>+UD5</f>
        <v>ต.ค.</v>
      </c>
      <c r="US5" s="16" t="str">
        <f t="shared" ref="US5" si="399">+UE5</f>
        <v>พ.ย.</v>
      </c>
      <c r="UT5" s="16" t="str">
        <f t="shared" ref="UT5" si="400">+UF5</f>
        <v>ธ.ค.</v>
      </c>
      <c r="UU5" s="16" t="str">
        <f t="shared" ref="UU5" si="401">+UG5</f>
        <v>ม.ค.</v>
      </c>
      <c r="UV5" s="16" t="str">
        <f t="shared" ref="UV5" si="402">+UH5</f>
        <v>ก.พ.</v>
      </c>
      <c r="UW5" s="16" t="str">
        <f t="shared" ref="UW5" si="403">+UI5</f>
        <v>มี.ค.</v>
      </c>
      <c r="UX5" s="16" t="str">
        <f t="shared" ref="UX5" si="404">+UJ5</f>
        <v>เม.ย.</v>
      </c>
      <c r="UY5" s="16" t="str">
        <f t="shared" ref="UY5" si="405">+UK5</f>
        <v>พ.ค.</v>
      </c>
      <c r="UZ5" s="16" t="str">
        <f t="shared" ref="UZ5" si="406">+UL5</f>
        <v>มิ.ย.</v>
      </c>
      <c r="VA5" s="16" t="str">
        <f t="shared" ref="VA5" si="407">+UM5</f>
        <v>ก.ค.</v>
      </c>
      <c r="VB5" s="16" t="str">
        <f t="shared" ref="VB5" si="408">+UN5</f>
        <v>ส.ค.</v>
      </c>
      <c r="VC5" s="16" t="str">
        <f>+UO5</f>
        <v>ก.ย.</v>
      </c>
      <c r="VD5" s="17" t="s">
        <v>16</v>
      </c>
      <c r="VE5" s="16" t="str">
        <f>+UR5</f>
        <v>ต.ค.</v>
      </c>
      <c r="VF5" s="16" t="str">
        <f t="shared" ref="VF5" si="409">+US5</f>
        <v>พ.ย.</v>
      </c>
      <c r="VG5" s="16" t="str">
        <f t="shared" ref="VG5" si="410">+UT5</f>
        <v>ธ.ค.</v>
      </c>
      <c r="VH5" s="16" t="str">
        <f t="shared" ref="VH5" si="411">+UU5</f>
        <v>ม.ค.</v>
      </c>
      <c r="VI5" s="16" t="str">
        <f t="shared" ref="VI5" si="412">+UV5</f>
        <v>ก.พ.</v>
      </c>
      <c r="VJ5" s="16" t="str">
        <f t="shared" ref="VJ5" si="413">+UW5</f>
        <v>มี.ค.</v>
      </c>
      <c r="VK5" s="16" t="str">
        <f t="shared" ref="VK5" si="414">+UX5</f>
        <v>เม.ย.</v>
      </c>
      <c r="VL5" s="16" t="str">
        <f t="shared" ref="VL5" si="415">+UY5</f>
        <v>พ.ค.</v>
      </c>
      <c r="VM5" s="16" t="str">
        <f t="shared" ref="VM5" si="416">+UZ5</f>
        <v>มิ.ย.</v>
      </c>
      <c r="VN5" s="16" t="str">
        <f t="shared" ref="VN5" si="417">+VA5</f>
        <v>ก.ค.</v>
      </c>
      <c r="VO5" s="16" t="str">
        <f t="shared" ref="VO5" si="418">+VB5</f>
        <v>ส.ค.</v>
      </c>
      <c r="VP5" s="16" t="str">
        <f t="shared" ref="VP5" si="419">+VC5</f>
        <v>ก.ย.</v>
      </c>
      <c r="VQ5" s="17" t="s">
        <v>16</v>
      </c>
      <c r="VR5" s="16" t="str">
        <f>+VE5</f>
        <v>ต.ค.</v>
      </c>
      <c r="VS5" s="16" t="str">
        <f t="shared" ref="VS5" si="420">+VF5</f>
        <v>พ.ย.</v>
      </c>
      <c r="VT5" s="16" t="str">
        <f t="shared" ref="VT5" si="421">+VG5</f>
        <v>ธ.ค.</v>
      </c>
      <c r="VU5" s="16" t="str">
        <f t="shared" ref="VU5" si="422">+VH5</f>
        <v>ม.ค.</v>
      </c>
      <c r="VV5" s="16" t="str">
        <f t="shared" ref="VV5" si="423">+VI5</f>
        <v>ก.พ.</v>
      </c>
      <c r="VW5" s="16" t="str">
        <f t="shared" ref="VW5" si="424">+VJ5</f>
        <v>มี.ค.</v>
      </c>
      <c r="VX5" s="16" t="str">
        <f t="shared" ref="VX5" si="425">+VK5</f>
        <v>เม.ย.</v>
      </c>
      <c r="VY5" s="16" t="str">
        <f t="shared" ref="VY5" si="426">+VL5</f>
        <v>พ.ค.</v>
      </c>
      <c r="VZ5" s="16" t="str">
        <f t="shared" ref="VZ5" si="427">+VM5</f>
        <v>มิ.ย.</v>
      </c>
      <c r="WA5" s="16" t="str">
        <f t="shared" ref="WA5" si="428">+VN5</f>
        <v>ก.ค.</v>
      </c>
      <c r="WB5" s="16" t="str">
        <f t="shared" ref="WB5" si="429">+VO5</f>
        <v>ส.ค.</v>
      </c>
      <c r="WC5" s="16" t="str">
        <f t="shared" ref="WC5" si="430">+VP5</f>
        <v>ก.ย.</v>
      </c>
      <c r="WD5" s="17" t="s">
        <v>16</v>
      </c>
      <c r="WE5" s="88"/>
      <c r="WF5" s="16" t="str">
        <f>+VR5</f>
        <v>ต.ค.</v>
      </c>
      <c r="WG5" s="16" t="str">
        <f t="shared" ref="WG5" si="431">+VS5</f>
        <v>พ.ย.</v>
      </c>
      <c r="WH5" s="16" t="str">
        <f t="shared" ref="WH5" si="432">+VT5</f>
        <v>ธ.ค.</v>
      </c>
      <c r="WI5" s="16" t="str">
        <f t="shared" ref="WI5" si="433">+VU5</f>
        <v>ม.ค.</v>
      </c>
      <c r="WJ5" s="16" t="str">
        <f t="shared" ref="WJ5" si="434">+VV5</f>
        <v>ก.พ.</v>
      </c>
      <c r="WK5" s="16" t="str">
        <f t="shared" ref="WK5" si="435">+VW5</f>
        <v>มี.ค.</v>
      </c>
      <c r="WL5" s="16" t="str">
        <f t="shared" ref="WL5" si="436">+VX5</f>
        <v>เม.ย.</v>
      </c>
      <c r="WM5" s="16" t="str">
        <f t="shared" ref="WM5" si="437">+VY5</f>
        <v>พ.ค.</v>
      </c>
      <c r="WN5" s="16" t="str">
        <f t="shared" ref="WN5" si="438">+VZ5</f>
        <v>มิ.ย.</v>
      </c>
      <c r="WO5" s="16" t="str">
        <f t="shared" ref="WO5" si="439">+WA5</f>
        <v>ก.ค.</v>
      </c>
      <c r="WP5" s="16" t="str">
        <f t="shared" ref="WP5" si="440">+WB5</f>
        <v>ส.ค.</v>
      </c>
      <c r="WQ5" s="16" t="str">
        <f>+WC5</f>
        <v>ก.ย.</v>
      </c>
      <c r="WR5" s="17" t="s">
        <v>16</v>
      </c>
      <c r="WS5" s="16" t="str">
        <f>+WF5</f>
        <v>ต.ค.</v>
      </c>
      <c r="WT5" s="16" t="str">
        <f t="shared" ref="WT5" si="441">+WG5</f>
        <v>พ.ย.</v>
      </c>
      <c r="WU5" s="16" t="str">
        <f t="shared" ref="WU5" si="442">+WH5</f>
        <v>ธ.ค.</v>
      </c>
      <c r="WV5" s="16" t="str">
        <f t="shared" ref="WV5" si="443">+WI5</f>
        <v>ม.ค.</v>
      </c>
      <c r="WW5" s="16" t="str">
        <f t="shared" ref="WW5" si="444">+WJ5</f>
        <v>ก.พ.</v>
      </c>
      <c r="WX5" s="16" t="str">
        <f t="shared" ref="WX5" si="445">+WK5</f>
        <v>มี.ค.</v>
      </c>
      <c r="WY5" s="16" t="str">
        <f t="shared" ref="WY5" si="446">+WL5</f>
        <v>เม.ย.</v>
      </c>
      <c r="WZ5" s="16" t="str">
        <f t="shared" ref="WZ5" si="447">+WM5</f>
        <v>พ.ค.</v>
      </c>
      <c r="XA5" s="16" t="str">
        <f t="shared" ref="XA5" si="448">+WN5</f>
        <v>มิ.ย.</v>
      </c>
      <c r="XB5" s="16" t="str">
        <f t="shared" ref="XB5" si="449">+WO5</f>
        <v>ก.ค.</v>
      </c>
      <c r="XC5" s="16" t="str">
        <f t="shared" ref="XC5" si="450">+WP5</f>
        <v>ส.ค.</v>
      </c>
      <c r="XD5" s="16" t="str">
        <f t="shared" ref="XD5" si="451">+WQ5</f>
        <v>ก.ย.</v>
      </c>
      <c r="XE5" s="17" t="s">
        <v>16</v>
      </c>
      <c r="XF5" s="16" t="str">
        <f>+WS5</f>
        <v>ต.ค.</v>
      </c>
      <c r="XG5" s="16" t="str">
        <f t="shared" ref="XG5" si="452">+WT5</f>
        <v>พ.ย.</v>
      </c>
      <c r="XH5" s="16" t="str">
        <f t="shared" ref="XH5" si="453">+WU5</f>
        <v>ธ.ค.</v>
      </c>
      <c r="XI5" s="16" t="str">
        <f t="shared" ref="XI5" si="454">+WV5</f>
        <v>ม.ค.</v>
      </c>
      <c r="XJ5" s="16" t="str">
        <f t="shared" ref="XJ5" si="455">+WW5</f>
        <v>ก.พ.</v>
      </c>
      <c r="XK5" s="16" t="str">
        <f t="shared" ref="XK5" si="456">+WX5</f>
        <v>มี.ค.</v>
      </c>
      <c r="XL5" s="16" t="str">
        <f t="shared" ref="XL5" si="457">+WY5</f>
        <v>เม.ย.</v>
      </c>
      <c r="XM5" s="16" t="str">
        <f t="shared" ref="XM5" si="458">+WZ5</f>
        <v>พ.ค.</v>
      </c>
      <c r="XN5" s="16" t="str">
        <f t="shared" ref="XN5" si="459">+XA5</f>
        <v>มิ.ย.</v>
      </c>
      <c r="XO5" s="16" t="str">
        <f t="shared" ref="XO5" si="460">+XB5</f>
        <v>ก.ค.</v>
      </c>
      <c r="XP5" s="16" t="str">
        <f t="shared" ref="XP5" si="461">+XC5</f>
        <v>ส.ค.</v>
      </c>
      <c r="XQ5" s="16" t="str">
        <f t="shared" ref="XQ5" si="462">+XD5</f>
        <v>ก.ย.</v>
      </c>
      <c r="XR5" s="17" t="s">
        <v>16</v>
      </c>
      <c r="XS5" s="88"/>
      <c r="XT5" s="16" t="str">
        <f>+XF5</f>
        <v>ต.ค.</v>
      </c>
      <c r="XU5" s="16" t="str">
        <f t="shared" ref="XU5" si="463">+XG5</f>
        <v>พ.ย.</v>
      </c>
      <c r="XV5" s="16" t="str">
        <f t="shared" ref="XV5" si="464">+XH5</f>
        <v>ธ.ค.</v>
      </c>
      <c r="XW5" s="16" t="str">
        <f t="shared" ref="XW5" si="465">+XI5</f>
        <v>ม.ค.</v>
      </c>
      <c r="XX5" s="16" t="str">
        <f t="shared" ref="XX5" si="466">+XJ5</f>
        <v>ก.พ.</v>
      </c>
      <c r="XY5" s="16" t="str">
        <f t="shared" ref="XY5" si="467">+XK5</f>
        <v>มี.ค.</v>
      </c>
      <c r="XZ5" s="16" t="str">
        <f t="shared" ref="XZ5" si="468">+XL5</f>
        <v>เม.ย.</v>
      </c>
      <c r="YA5" s="16" t="str">
        <f t="shared" ref="YA5" si="469">+XM5</f>
        <v>พ.ค.</v>
      </c>
      <c r="YB5" s="16" t="str">
        <f t="shared" ref="YB5" si="470">+XN5</f>
        <v>มิ.ย.</v>
      </c>
      <c r="YC5" s="16" t="str">
        <f t="shared" ref="YC5" si="471">+XO5</f>
        <v>ก.ค.</v>
      </c>
      <c r="YD5" s="16" t="str">
        <f t="shared" ref="YD5" si="472">+XP5</f>
        <v>ส.ค.</v>
      </c>
      <c r="YE5" s="16" t="str">
        <f>+XQ5</f>
        <v>ก.ย.</v>
      </c>
      <c r="YF5" s="17" t="s">
        <v>16</v>
      </c>
      <c r="YG5" s="16" t="str">
        <f>+XT5</f>
        <v>ต.ค.</v>
      </c>
      <c r="YH5" s="16" t="str">
        <f t="shared" ref="YH5" si="473">+XU5</f>
        <v>พ.ย.</v>
      </c>
      <c r="YI5" s="16" t="str">
        <f t="shared" ref="YI5" si="474">+XV5</f>
        <v>ธ.ค.</v>
      </c>
      <c r="YJ5" s="16" t="str">
        <f t="shared" ref="YJ5" si="475">+XW5</f>
        <v>ม.ค.</v>
      </c>
      <c r="YK5" s="16" t="str">
        <f t="shared" ref="YK5" si="476">+XX5</f>
        <v>ก.พ.</v>
      </c>
      <c r="YL5" s="16" t="str">
        <f t="shared" ref="YL5" si="477">+XY5</f>
        <v>มี.ค.</v>
      </c>
      <c r="YM5" s="16" t="str">
        <f t="shared" ref="YM5" si="478">+XZ5</f>
        <v>เม.ย.</v>
      </c>
      <c r="YN5" s="16" t="str">
        <f t="shared" ref="YN5" si="479">+YA5</f>
        <v>พ.ค.</v>
      </c>
      <c r="YO5" s="16" t="str">
        <f t="shared" ref="YO5" si="480">+YB5</f>
        <v>มิ.ย.</v>
      </c>
      <c r="YP5" s="16" t="str">
        <f t="shared" ref="YP5" si="481">+YC5</f>
        <v>ก.ค.</v>
      </c>
      <c r="YQ5" s="16" t="str">
        <f t="shared" ref="YQ5" si="482">+YD5</f>
        <v>ส.ค.</v>
      </c>
      <c r="YR5" s="16" t="str">
        <f t="shared" ref="YR5" si="483">+YE5</f>
        <v>ก.ย.</v>
      </c>
      <c r="YS5" s="17" t="s">
        <v>16</v>
      </c>
      <c r="YT5" s="16" t="str">
        <f>+YG5</f>
        <v>ต.ค.</v>
      </c>
      <c r="YU5" s="16" t="str">
        <f t="shared" ref="YU5" si="484">+YH5</f>
        <v>พ.ย.</v>
      </c>
      <c r="YV5" s="16" t="str">
        <f t="shared" ref="YV5" si="485">+YI5</f>
        <v>ธ.ค.</v>
      </c>
      <c r="YW5" s="16" t="str">
        <f t="shared" ref="YW5" si="486">+YJ5</f>
        <v>ม.ค.</v>
      </c>
      <c r="YX5" s="16" t="str">
        <f t="shared" ref="YX5" si="487">+YK5</f>
        <v>ก.พ.</v>
      </c>
      <c r="YY5" s="16" t="str">
        <f t="shared" ref="YY5" si="488">+YL5</f>
        <v>มี.ค.</v>
      </c>
      <c r="YZ5" s="16" t="str">
        <f t="shared" ref="YZ5" si="489">+YM5</f>
        <v>เม.ย.</v>
      </c>
      <c r="ZA5" s="16" t="str">
        <f t="shared" ref="ZA5" si="490">+YN5</f>
        <v>พ.ค.</v>
      </c>
      <c r="ZB5" s="16" t="str">
        <f t="shared" ref="ZB5" si="491">+YO5</f>
        <v>มิ.ย.</v>
      </c>
      <c r="ZC5" s="16" t="str">
        <f t="shared" ref="ZC5" si="492">+YP5</f>
        <v>ก.ค.</v>
      </c>
      <c r="ZD5" s="16" t="str">
        <f t="shared" ref="ZD5" si="493">+YQ5</f>
        <v>ส.ค.</v>
      </c>
      <c r="ZE5" s="16" t="str">
        <f t="shared" ref="ZE5" si="494">+YR5</f>
        <v>ก.ย.</v>
      </c>
      <c r="ZF5" s="17" t="s">
        <v>16</v>
      </c>
      <c r="ZG5" s="88"/>
      <c r="ZH5" s="16" t="str">
        <f>+YT5</f>
        <v>ต.ค.</v>
      </c>
      <c r="ZI5" s="16" t="str">
        <f t="shared" ref="ZI5" si="495">+YU5</f>
        <v>พ.ย.</v>
      </c>
      <c r="ZJ5" s="16" t="str">
        <f t="shared" ref="ZJ5" si="496">+YV5</f>
        <v>ธ.ค.</v>
      </c>
      <c r="ZK5" s="16" t="str">
        <f t="shared" ref="ZK5" si="497">+YW5</f>
        <v>ม.ค.</v>
      </c>
      <c r="ZL5" s="16" t="str">
        <f t="shared" ref="ZL5" si="498">+YX5</f>
        <v>ก.พ.</v>
      </c>
      <c r="ZM5" s="16" t="str">
        <f t="shared" ref="ZM5" si="499">+YY5</f>
        <v>มี.ค.</v>
      </c>
      <c r="ZN5" s="16" t="str">
        <f t="shared" ref="ZN5" si="500">+YZ5</f>
        <v>เม.ย.</v>
      </c>
      <c r="ZO5" s="16" t="str">
        <f t="shared" ref="ZO5" si="501">+ZA5</f>
        <v>พ.ค.</v>
      </c>
      <c r="ZP5" s="16" t="str">
        <f t="shared" ref="ZP5" si="502">+ZB5</f>
        <v>มิ.ย.</v>
      </c>
      <c r="ZQ5" s="16" t="str">
        <f t="shared" ref="ZQ5" si="503">+ZC5</f>
        <v>ก.ค.</v>
      </c>
      <c r="ZR5" s="16" t="str">
        <f t="shared" ref="ZR5" si="504">+ZD5</f>
        <v>ส.ค.</v>
      </c>
      <c r="ZS5" s="16" t="str">
        <f>+ZE5</f>
        <v>ก.ย.</v>
      </c>
      <c r="ZT5" s="17" t="s">
        <v>16</v>
      </c>
      <c r="ZU5" s="16" t="str">
        <f>+ZH5</f>
        <v>ต.ค.</v>
      </c>
      <c r="ZV5" s="16" t="str">
        <f t="shared" ref="ZV5" si="505">+ZI5</f>
        <v>พ.ย.</v>
      </c>
      <c r="ZW5" s="16" t="str">
        <f t="shared" ref="ZW5" si="506">+ZJ5</f>
        <v>ธ.ค.</v>
      </c>
      <c r="ZX5" s="16" t="str">
        <f t="shared" ref="ZX5" si="507">+ZK5</f>
        <v>ม.ค.</v>
      </c>
      <c r="ZY5" s="16" t="str">
        <f t="shared" ref="ZY5" si="508">+ZL5</f>
        <v>ก.พ.</v>
      </c>
      <c r="ZZ5" s="16" t="str">
        <f t="shared" ref="ZZ5" si="509">+ZM5</f>
        <v>มี.ค.</v>
      </c>
      <c r="AAA5" s="16" t="str">
        <f t="shared" ref="AAA5" si="510">+ZN5</f>
        <v>เม.ย.</v>
      </c>
      <c r="AAB5" s="16" t="str">
        <f t="shared" ref="AAB5" si="511">+ZO5</f>
        <v>พ.ค.</v>
      </c>
      <c r="AAC5" s="16" t="str">
        <f t="shared" ref="AAC5" si="512">+ZP5</f>
        <v>มิ.ย.</v>
      </c>
      <c r="AAD5" s="16" t="str">
        <f t="shared" ref="AAD5" si="513">+ZQ5</f>
        <v>ก.ค.</v>
      </c>
      <c r="AAE5" s="16" t="str">
        <f t="shared" ref="AAE5" si="514">+ZR5</f>
        <v>ส.ค.</v>
      </c>
      <c r="AAF5" s="16" t="str">
        <f t="shared" ref="AAF5" si="515">+ZS5</f>
        <v>ก.ย.</v>
      </c>
      <c r="AAG5" s="17" t="s">
        <v>16</v>
      </c>
      <c r="AAH5" s="16" t="str">
        <f>+ZU5</f>
        <v>ต.ค.</v>
      </c>
      <c r="AAI5" s="16" t="str">
        <f t="shared" ref="AAI5" si="516">+ZV5</f>
        <v>พ.ย.</v>
      </c>
      <c r="AAJ5" s="16" t="str">
        <f t="shared" ref="AAJ5" si="517">+ZW5</f>
        <v>ธ.ค.</v>
      </c>
      <c r="AAK5" s="16" t="str">
        <f t="shared" ref="AAK5" si="518">+ZX5</f>
        <v>ม.ค.</v>
      </c>
      <c r="AAL5" s="16" t="str">
        <f t="shared" ref="AAL5" si="519">+ZY5</f>
        <v>ก.พ.</v>
      </c>
      <c r="AAM5" s="16" t="str">
        <f t="shared" ref="AAM5" si="520">+ZZ5</f>
        <v>มี.ค.</v>
      </c>
      <c r="AAN5" s="16" t="str">
        <f t="shared" ref="AAN5" si="521">+AAA5</f>
        <v>เม.ย.</v>
      </c>
      <c r="AAO5" s="16" t="str">
        <f t="shared" ref="AAO5" si="522">+AAB5</f>
        <v>พ.ค.</v>
      </c>
      <c r="AAP5" s="16" t="str">
        <f t="shared" ref="AAP5" si="523">+AAC5</f>
        <v>มิ.ย.</v>
      </c>
      <c r="AAQ5" s="16" t="str">
        <f t="shared" ref="AAQ5" si="524">+AAD5</f>
        <v>ก.ค.</v>
      </c>
      <c r="AAR5" s="16" t="str">
        <f t="shared" ref="AAR5" si="525">+AAE5</f>
        <v>ส.ค.</v>
      </c>
      <c r="AAS5" s="16" t="str">
        <f t="shared" ref="AAS5" si="526">+AAF5</f>
        <v>ก.ย.</v>
      </c>
      <c r="AAT5" s="17" t="s">
        <v>16</v>
      </c>
      <c r="AAU5" s="88"/>
      <c r="AAV5" s="16" t="str">
        <f>+AAH5</f>
        <v>ต.ค.</v>
      </c>
      <c r="AAW5" s="16" t="str">
        <f t="shared" ref="AAW5" si="527">+AAI5</f>
        <v>พ.ย.</v>
      </c>
      <c r="AAX5" s="16" t="str">
        <f t="shared" ref="AAX5" si="528">+AAJ5</f>
        <v>ธ.ค.</v>
      </c>
      <c r="AAY5" s="16" t="str">
        <f t="shared" ref="AAY5" si="529">+AAK5</f>
        <v>ม.ค.</v>
      </c>
      <c r="AAZ5" s="16" t="str">
        <f t="shared" ref="AAZ5" si="530">+AAL5</f>
        <v>ก.พ.</v>
      </c>
      <c r="ABA5" s="16" t="str">
        <f t="shared" ref="ABA5" si="531">+AAM5</f>
        <v>มี.ค.</v>
      </c>
      <c r="ABB5" s="16" t="str">
        <f t="shared" ref="ABB5" si="532">+AAN5</f>
        <v>เม.ย.</v>
      </c>
      <c r="ABC5" s="16" t="str">
        <f t="shared" ref="ABC5" si="533">+AAO5</f>
        <v>พ.ค.</v>
      </c>
      <c r="ABD5" s="16" t="str">
        <f t="shared" ref="ABD5" si="534">+AAP5</f>
        <v>มิ.ย.</v>
      </c>
      <c r="ABE5" s="16" t="str">
        <f t="shared" ref="ABE5" si="535">+AAQ5</f>
        <v>ก.ค.</v>
      </c>
      <c r="ABF5" s="16" t="str">
        <f t="shared" ref="ABF5" si="536">+AAR5</f>
        <v>ส.ค.</v>
      </c>
      <c r="ABG5" s="16" t="str">
        <f>+AAS5</f>
        <v>ก.ย.</v>
      </c>
      <c r="ABH5" s="17" t="s">
        <v>16</v>
      </c>
      <c r="ABI5" s="16" t="str">
        <f>+AAV5</f>
        <v>ต.ค.</v>
      </c>
      <c r="ABJ5" s="16" t="str">
        <f t="shared" ref="ABJ5" si="537">+AAW5</f>
        <v>พ.ย.</v>
      </c>
      <c r="ABK5" s="16" t="str">
        <f t="shared" ref="ABK5" si="538">+AAX5</f>
        <v>ธ.ค.</v>
      </c>
      <c r="ABL5" s="16" t="str">
        <f t="shared" ref="ABL5" si="539">+AAY5</f>
        <v>ม.ค.</v>
      </c>
      <c r="ABM5" s="16" t="str">
        <f t="shared" ref="ABM5" si="540">+AAZ5</f>
        <v>ก.พ.</v>
      </c>
      <c r="ABN5" s="16" t="str">
        <f t="shared" ref="ABN5" si="541">+ABA5</f>
        <v>มี.ค.</v>
      </c>
      <c r="ABO5" s="16" t="str">
        <f t="shared" ref="ABO5" si="542">+ABB5</f>
        <v>เม.ย.</v>
      </c>
      <c r="ABP5" s="16" t="str">
        <f t="shared" ref="ABP5" si="543">+ABC5</f>
        <v>พ.ค.</v>
      </c>
      <c r="ABQ5" s="16" t="str">
        <f t="shared" ref="ABQ5" si="544">+ABD5</f>
        <v>มิ.ย.</v>
      </c>
      <c r="ABR5" s="16" t="str">
        <f t="shared" ref="ABR5" si="545">+ABE5</f>
        <v>ก.ค.</v>
      </c>
      <c r="ABS5" s="16" t="str">
        <f t="shared" ref="ABS5" si="546">+ABF5</f>
        <v>ส.ค.</v>
      </c>
      <c r="ABT5" s="16" t="str">
        <f t="shared" ref="ABT5" si="547">+ABG5</f>
        <v>ก.ย.</v>
      </c>
      <c r="ABU5" s="17" t="s">
        <v>16</v>
      </c>
      <c r="ABV5" s="16" t="str">
        <f>+ABI5</f>
        <v>ต.ค.</v>
      </c>
      <c r="ABW5" s="16" t="str">
        <f t="shared" ref="ABW5" si="548">+ABJ5</f>
        <v>พ.ย.</v>
      </c>
      <c r="ABX5" s="16" t="str">
        <f t="shared" ref="ABX5" si="549">+ABK5</f>
        <v>ธ.ค.</v>
      </c>
      <c r="ABY5" s="16" t="str">
        <f t="shared" ref="ABY5" si="550">+ABL5</f>
        <v>ม.ค.</v>
      </c>
      <c r="ABZ5" s="16" t="str">
        <f t="shared" ref="ABZ5" si="551">+ABM5</f>
        <v>ก.พ.</v>
      </c>
      <c r="ACA5" s="16" t="str">
        <f t="shared" ref="ACA5" si="552">+ABN5</f>
        <v>มี.ค.</v>
      </c>
      <c r="ACB5" s="16" t="str">
        <f t="shared" ref="ACB5" si="553">+ABO5</f>
        <v>เม.ย.</v>
      </c>
      <c r="ACC5" s="16" t="str">
        <f t="shared" ref="ACC5" si="554">+ABP5</f>
        <v>พ.ค.</v>
      </c>
      <c r="ACD5" s="16" t="str">
        <f t="shared" ref="ACD5" si="555">+ABQ5</f>
        <v>มิ.ย.</v>
      </c>
      <c r="ACE5" s="16" t="str">
        <f t="shared" ref="ACE5" si="556">+ABR5</f>
        <v>ก.ค.</v>
      </c>
      <c r="ACF5" s="16" t="str">
        <f t="shared" ref="ACF5" si="557">+ABS5</f>
        <v>ส.ค.</v>
      </c>
      <c r="ACG5" s="16" t="str">
        <f t="shared" ref="ACG5" si="558">+ABT5</f>
        <v>ก.ย.</v>
      </c>
      <c r="ACH5" s="17" t="s">
        <v>16</v>
      </c>
      <c r="ACI5" s="88"/>
      <c r="ACJ5" s="16" t="str">
        <f>+ABV5</f>
        <v>ต.ค.</v>
      </c>
      <c r="ACK5" s="16" t="str">
        <f t="shared" ref="ACK5" si="559">+ABW5</f>
        <v>พ.ย.</v>
      </c>
      <c r="ACL5" s="16" t="str">
        <f t="shared" ref="ACL5" si="560">+ABX5</f>
        <v>ธ.ค.</v>
      </c>
      <c r="ACM5" s="16" t="str">
        <f t="shared" ref="ACM5" si="561">+ABY5</f>
        <v>ม.ค.</v>
      </c>
      <c r="ACN5" s="16" t="str">
        <f t="shared" ref="ACN5" si="562">+ABZ5</f>
        <v>ก.พ.</v>
      </c>
      <c r="ACO5" s="16" t="str">
        <f t="shared" ref="ACO5" si="563">+ACA5</f>
        <v>มี.ค.</v>
      </c>
      <c r="ACP5" s="16" t="str">
        <f t="shared" ref="ACP5" si="564">+ACB5</f>
        <v>เม.ย.</v>
      </c>
      <c r="ACQ5" s="16" t="str">
        <f t="shared" ref="ACQ5" si="565">+ACC5</f>
        <v>พ.ค.</v>
      </c>
      <c r="ACR5" s="16" t="str">
        <f t="shared" ref="ACR5" si="566">+ACD5</f>
        <v>มิ.ย.</v>
      </c>
      <c r="ACS5" s="16" t="str">
        <f t="shared" ref="ACS5" si="567">+ACE5</f>
        <v>ก.ค.</v>
      </c>
      <c r="ACT5" s="16" t="str">
        <f t="shared" ref="ACT5" si="568">+ACF5</f>
        <v>ส.ค.</v>
      </c>
      <c r="ACU5" s="16" t="str">
        <f>+ACG5</f>
        <v>ก.ย.</v>
      </c>
      <c r="ACV5" s="17" t="s">
        <v>16</v>
      </c>
      <c r="ACW5" s="16" t="str">
        <f>+ACJ5</f>
        <v>ต.ค.</v>
      </c>
      <c r="ACX5" s="16" t="str">
        <f t="shared" ref="ACX5" si="569">+ACK5</f>
        <v>พ.ย.</v>
      </c>
      <c r="ACY5" s="16" t="str">
        <f t="shared" ref="ACY5" si="570">+ACL5</f>
        <v>ธ.ค.</v>
      </c>
      <c r="ACZ5" s="16" t="str">
        <f t="shared" ref="ACZ5" si="571">+ACM5</f>
        <v>ม.ค.</v>
      </c>
      <c r="ADA5" s="16" t="str">
        <f t="shared" ref="ADA5" si="572">+ACN5</f>
        <v>ก.พ.</v>
      </c>
      <c r="ADB5" s="16" t="str">
        <f t="shared" ref="ADB5" si="573">+ACO5</f>
        <v>มี.ค.</v>
      </c>
      <c r="ADC5" s="16" t="str">
        <f t="shared" ref="ADC5" si="574">+ACP5</f>
        <v>เม.ย.</v>
      </c>
      <c r="ADD5" s="16" t="str">
        <f t="shared" ref="ADD5" si="575">+ACQ5</f>
        <v>พ.ค.</v>
      </c>
      <c r="ADE5" s="16" t="str">
        <f t="shared" ref="ADE5" si="576">+ACR5</f>
        <v>มิ.ย.</v>
      </c>
      <c r="ADF5" s="16" t="str">
        <f t="shared" ref="ADF5" si="577">+ACS5</f>
        <v>ก.ค.</v>
      </c>
      <c r="ADG5" s="16" t="str">
        <f t="shared" ref="ADG5" si="578">+ACT5</f>
        <v>ส.ค.</v>
      </c>
      <c r="ADH5" s="16" t="str">
        <f t="shared" ref="ADH5" si="579">+ACU5</f>
        <v>ก.ย.</v>
      </c>
      <c r="ADI5" s="17" t="s">
        <v>16</v>
      </c>
      <c r="ADJ5" s="16" t="str">
        <f>+ACW5</f>
        <v>ต.ค.</v>
      </c>
      <c r="ADK5" s="16" t="str">
        <f t="shared" ref="ADK5" si="580">+ACX5</f>
        <v>พ.ย.</v>
      </c>
      <c r="ADL5" s="16" t="str">
        <f t="shared" ref="ADL5" si="581">+ACY5</f>
        <v>ธ.ค.</v>
      </c>
      <c r="ADM5" s="16" t="str">
        <f t="shared" ref="ADM5" si="582">+ACZ5</f>
        <v>ม.ค.</v>
      </c>
      <c r="ADN5" s="16" t="str">
        <f t="shared" ref="ADN5" si="583">+ADA5</f>
        <v>ก.พ.</v>
      </c>
      <c r="ADO5" s="16" t="str">
        <f t="shared" ref="ADO5" si="584">+ADB5</f>
        <v>มี.ค.</v>
      </c>
      <c r="ADP5" s="16" t="str">
        <f t="shared" ref="ADP5" si="585">+ADC5</f>
        <v>เม.ย.</v>
      </c>
      <c r="ADQ5" s="16" t="str">
        <f t="shared" ref="ADQ5" si="586">+ADD5</f>
        <v>พ.ค.</v>
      </c>
      <c r="ADR5" s="16" t="str">
        <f t="shared" ref="ADR5" si="587">+ADE5</f>
        <v>มิ.ย.</v>
      </c>
      <c r="ADS5" s="16" t="str">
        <f t="shared" ref="ADS5" si="588">+ADF5</f>
        <v>ก.ค.</v>
      </c>
      <c r="ADT5" s="16" t="str">
        <f t="shared" ref="ADT5" si="589">+ADG5</f>
        <v>ส.ค.</v>
      </c>
      <c r="ADU5" s="16" t="str">
        <f t="shared" ref="ADU5" si="590">+ADH5</f>
        <v>ก.ย.</v>
      </c>
      <c r="ADV5" s="17" t="s">
        <v>16</v>
      </c>
      <c r="ADW5" s="88"/>
      <c r="ADX5" s="16" t="str">
        <f>+ADJ5</f>
        <v>ต.ค.</v>
      </c>
      <c r="ADY5" s="16" t="str">
        <f t="shared" ref="ADY5" si="591">+ADK5</f>
        <v>พ.ย.</v>
      </c>
      <c r="ADZ5" s="16" t="str">
        <f t="shared" ref="ADZ5" si="592">+ADL5</f>
        <v>ธ.ค.</v>
      </c>
      <c r="AEA5" s="16" t="str">
        <f t="shared" ref="AEA5" si="593">+ADM5</f>
        <v>ม.ค.</v>
      </c>
      <c r="AEB5" s="16" t="str">
        <f t="shared" ref="AEB5" si="594">+ADN5</f>
        <v>ก.พ.</v>
      </c>
      <c r="AEC5" s="16" t="str">
        <f t="shared" ref="AEC5" si="595">+ADO5</f>
        <v>มี.ค.</v>
      </c>
      <c r="AED5" s="16" t="str">
        <f t="shared" ref="AED5" si="596">+ADP5</f>
        <v>เม.ย.</v>
      </c>
      <c r="AEE5" s="16" t="str">
        <f t="shared" ref="AEE5" si="597">+ADQ5</f>
        <v>พ.ค.</v>
      </c>
      <c r="AEF5" s="16" t="str">
        <f t="shared" ref="AEF5" si="598">+ADR5</f>
        <v>มิ.ย.</v>
      </c>
      <c r="AEG5" s="16" t="str">
        <f t="shared" ref="AEG5" si="599">+ADS5</f>
        <v>ก.ค.</v>
      </c>
      <c r="AEH5" s="16" t="str">
        <f t="shared" ref="AEH5" si="600">+ADT5</f>
        <v>ส.ค.</v>
      </c>
      <c r="AEI5" s="16" t="str">
        <f>+ADU5</f>
        <v>ก.ย.</v>
      </c>
      <c r="AEJ5" s="17" t="s">
        <v>16</v>
      </c>
      <c r="AEK5" s="16" t="str">
        <f>+ADX5</f>
        <v>ต.ค.</v>
      </c>
      <c r="AEL5" s="16" t="str">
        <f t="shared" ref="AEL5" si="601">+ADY5</f>
        <v>พ.ย.</v>
      </c>
      <c r="AEM5" s="16" t="str">
        <f t="shared" ref="AEM5" si="602">+ADZ5</f>
        <v>ธ.ค.</v>
      </c>
      <c r="AEN5" s="16" t="str">
        <f t="shared" ref="AEN5" si="603">+AEA5</f>
        <v>ม.ค.</v>
      </c>
      <c r="AEO5" s="16" t="str">
        <f t="shared" ref="AEO5" si="604">+AEB5</f>
        <v>ก.พ.</v>
      </c>
      <c r="AEP5" s="16" t="str">
        <f t="shared" ref="AEP5" si="605">+AEC5</f>
        <v>มี.ค.</v>
      </c>
      <c r="AEQ5" s="16" t="str">
        <f t="shared" ref="AEQ5" si="606">+AED5</f>
        <v>เม.ย.</v>
      </c>
      <c r="AER5" s="16" t="str">
        <f t="shared" ref="AER5" si="607">+AEE5</f>
        <v>พ.ค.</v>
      </c>
      <c r="AES5" s="16" t="str">
        <f t="shared" ref="AES5" si="608">+AEF5</f>
        <v>มิ.ย.</v>
      </c>
      <c r="AET5" s="16" t="str">
        <f t="shared" ref="AET5" si="609">+AEG5</f>
        <v>ก.ค.</v>
      </c>
      <c r="AEU5" s="16" t="str">
        <f t="shared" ref="AEU5" si="610">+AEH5</f>
        <v>ส.ค.</v>
      </c>
      <c r="AEV5" s="16" t="str">
        <f t="shared" ref="AEV5" si="611">+AEI5</f>
        <v>ก.ย.</v>
      </c>
      <c r="AEW5" s="17" t="s">
        <v>16</v>
      </c>
      <c r="AEX5" s="16" t="str">
        <f>+AEK5</f>
        <v>ต.ค.</v>
      </c>
      <c r="AEY5" s="16" t="str">
        <f t="shared" ref="AEY5" si="612">+AEL5</f>
        <v>พ.ย.</v>
      </c>
      <c r="AEZ5" s="16" t="str">
        <f t="shared" ref="AEZ5" si="613">+AEM5</f>
        <v>ธ.ค.</v>
      </c>
      <c r="AFA5" s="16" t="str">
        <f t="shared" ref="AFA5" si="614">+AEN5</f>
        <v>ม.ค.</v>
      </c>
      <c r="AFB5" s="16" t="str">
        <f t="shared" ref="AFB5" si="615">+AEO5</f>
        <v>ก.พ.</v>
      </c>
      <c r="AFC5" s="16" t="str">
        <f t="shared" ref="AFC5" si="616">+AEP5</f>
        <v>มี.ค.</v>
      </c>
      <c r="AFD5" s="16" t="str">
        <f t="shared" ref="AFD5" si="617">+AEQ5</f>
        <v>เม.ย.</v>
      </c>
      <c r="AFE5" s="16" t="str">
        <f t="shared" ref="AFE5" si="618">+AER5</f>
        <v>พ.ค.</v>
      </c>
      <c r="AFF5" s="16" t="str">
        <f t="shared" ref="AFF5" si="619">+AES5</f>
        <v>มิ.ย.</v>
      </c>
      <c r="AFG5" s="16" t="str">
        <f t="shared" ref="AFG5" si="620">+AET5</f>
        <v>ก.ค.</v>
      </c>
      <c r="AFH5" s="16" t="str">
        <f t="shared" ref="AFH5" si="621">+AEU5</f>
        <v>ส.ค.</v>
      </c>
      <c r="AFI5" s="16" t="str">
        <f t="shared" ref="AFI5" si="622">+AEV5</f>
        <v>ก.ย.</v>
      </c>
      <c r="AFJ5" s="17" t="s">
        <v>16</v>
      </c>
      <c r="AFK5" s="88"/>
      <c r="AFL5" s="16" t="str">
        <f>+AEX5</f>
        <v>ต.ค.</v>
      </c>
      <c r="AFM5" s="16" t="str">
        <f t="shared" ref="AFM5" si="623">+AEY5</f>
        <v>พ.ย.</v>
      </c>
      <c r="AFN5" s="16" t="str">
        <f t="shared" ref="AFN5" si="624">+AEZ5</f>
        <v>ธ.ค.</v>
      </c>
      <c r="AFO5" s="16" t="str">
        <f t="shared" ref="AFO5" si="625">+AFA5</f>
        <v>ม.ค.</v>
      </c>
      <c r="AFP5" s="16" t="str">
        <f t="shared" ref="AFP5" si="626">+AFB5</f>
        <v>ก.พ.</v>
      </c>
      <c r="AFQ5" s="16" t="str">
        <f t="shared" ref="AFQ5" si="627">+AFC5</f>
        <v>มี.ค.</v>
      </c>
      <c r="AFR5" s="16" t="str">
        <f t="shared" ref="AFR5" si="628">+AFD5</f>
        <v>เม.ย.</v>
      </c>
      <c r="AFS5" s="16" t="str">
        <f t="shared" ref="AFS5" si="629">+AFE5</f>
        <v>พ.ค.</v>
      </c>
      <c r="AFT5" s="16" t="str">
        <f t="shared" ref="AFT5" si="630">+AFF5</f>
        <v>มิ.ย.</v>
      </c>
      <c r="AFU5" s="16" t="str">
        <f t="shared" ref="AFU5" si="631">+AFG5</f>
        <v>ก.ค.</v>
      </c>
      <c r="AFV5" s="16" t="str">
        <f t="shared" ref="AFV5" si="632">+AFH5</f>
        <v>ส.ค.</v>
      </c>
      <c r="AFW5" s="16" t="str">
        <f>+AFI5</f>
        <v>ก.ย.</v>
      </c>
      <c r="AFX5" s="17" t="s">
        <v>16</v>
      </c>
      <c r="AFY5" s="16" t="str">
        <f>+AFL5</f>
        <v>ต.ค.</v>
      </c>
      <c r="AFZ5" s="16" t="str">
        <f t="shared" ref="AFZ5" si="633">+AFM5</f>
        <v>พ.ย.</v>
      </c>
      <c r="AGA5" s="16" t="str">
        <f t="shared" ref="AGA5" si="634">+AFN5</f>
        <v>ธ.ค.</v>
      </c>
      <c r="AGB5" s="16" t="str">
        <f t="shared" ref="AGB5" si="635">+AFO5</f>
        <v>ม.ค.</v>
      </c>
      <c r="AGC5" s="16" t="str">
        <f t="shared" ref="AGC5" si="636">+AFP5</f>
        <v>ก.พ.</v>
      </c>
      <c r="AGD5" s="16" t="str">
        <f t="shared" ref="AGD5" si="637">+AFQ5</f>
        <v>มี.ค.</v>
      </c>
      <c r="AGE5" s="16" t="str">
        <f t="shared" ref="AGE5" si="638">+AFR5</f>
        <v>เม.ย.</v>
      </c>
      <c r="AGF5" s="16" t="str">
        <f t="shared" ref="AGF5" si="639">+AFS5</f>
        <v>พ.ค.</v>
      </c>
      <c r="AGG5" s="16" t="str">
        <f t="shared" ref="AGG5" si="640">+AFT5</f>
        <v>มิ.ย.</v>
      </c>
      <c r="AGH5" s="16" t="str">
        <f t="shared" ref="AGH5" si="641">+AFU5</f>
        <v>ก.ค.</v>
      </c>
      <c r="AGI5" s="16" t="str">
        <f t="shared" ref="AGI5" si="642">+AFV5</f>
        <v>ส.ค.</v>
      </c>
      <c r="AGJ5" s="16" t="str">
        <f t="shared" ref="AGJ5" si="643">+AFW5</f>
        <v>ก.ย.</v>
      </c>
      <c r="AGK5" s="17" t="s">
        <v>16</v>
      </c>
      <c r="AGL5" s="16" t="str">
        <f>+AFY5</f>
        <v>ต.ค.</v>
      </c>
      <c r="AGM5" s="16" t="str">
        <f t="shared" ref="AGM5" si="644">+AFZ5</f>
        <v>พ.ย.</v>
      </c>
      <c r="AGN5" s="16" t="str">
        <f t="shared" ref="AGN5" si="645">+AGA5</f>
        <v>ธ.ค.</v>
      </c>
      <c r="AGO5" s="16" t="str">
        <f t="shared" ref="AGO5" si="646">+AGB5</f>
        <v>ม.ค.</v>
      </c>
      <c r="AGP5" s="16" t="str">
        <f t="shared" ref="AGP5" si="647">+AGC5</f>
        <v>ก.พ.</v>
      </c>
      <c r="AGQ5" s="16" t="str">
        <f t="shared" ref="AGQ5" si="648">+AGD5</f>
        <v>มี.ค.</v>
      </c>
      <c r="AGR5" s="16" t="str">
        <f t="shared" ref="AGR5" si="649">+AGE5</f>
        <v>เม.ย.</v>
      </c>
      <c r="AGS5" s="16" t="str">
        <f t="shared" ref="AGS5" si="650">+AGF5</f>
        <v>พ.ค.</v>
      </c>
      <c r="AGT5" s="16" t="str">
        <f t="shared" ref="AGT5" si="651">+AGG5</f>
        <v>มิ.ย.</v>
      </c>
      <c r="AGU5" s="16" t="str">
        <f t="shared" ref="AGU5" si="652">+AGH5</f>
        <v>ก.ค.</v>
      </c>
      <c r="AGV5" s="16" t="str">
        <f t="shared" ref="AGV5" si="653">+AGI5</f>
        <v>ส.ค.</v>
      </c>
      <c r="AGW5" s="16" t="str">
        <f t="shared" ref="AGW5" si="654">+AGJ5</f>
        <v>ก.ย.</v>
      </c>
      <c r="AGX5" s="17" t="s">
        <v>16</v>
      </c>
      <c r="AGY5" s="88"/>
      <c r="AGZ5" s="16" t="str">
        <f>+AGL5</f>
        <v>ต.ค.</v>
      </c>
      <c r="AHA5" s="16" t="str">
        <f t="shared" ref="AHA5" si="655">+AGM5</f>
        <v>พ.ย.</v>
      </c>
      <c r="AHB5" s="16" t="str">
        <f t="shared" ref="AHB5" si="656">+AGN5</f>
        <v>ธ.ค.</v>
      </c>
      <c r="AHC5" s="16" t="str">
        <f t="shared" ref="AHC5" si="657">+AGO5</f>
        <v>ม.ค.</v>
      </c>
      <c r="AHD5" s="16" t="str">
        <f t="shared" ref="AHD5" si="658">+AGP5</f>
        <v>ก.พ.</v>
      </c>
      <c r="AHE5" s="16" t="str">
        <f t="shared" ref="AHE5" si="659">+AGQ5</f>
        <v>มี.ค.</v>
      </c>
      <c r="AHF5" s="16" t="str">
        <f t="shared" ref="AHF5" si="660">+AGR5</f>
        <v>เม.ย.</v>
      </c>
      <c r="AHG5" s="16" t="str">
        <f t="shared" ref="AHG5" si="661">+AGS5</f>
        <v>พ.ค.</v>
      </c>
      <c r="AHH5" s="16" t="str">
        <f t="shared" ref="AHH5" si="662">+AGT5</f>
        <v>มิ.ย.</v>
      </c>
      <c r="AHI5" s="16" t="str">
        <f t="shared" ref="AHI5" si="663">+AGU5</f>
        <v>ก.ค.</v>
      </c>
      <c r="AHJ5" s="16" t="str">
        <f t="shared" ref="AHJ5" si="664">+AGV5</f>
        <v>ส.ค.</v>
      </c>
      <c r="AHK5" s="16" t="str">
        <f>+AGW5</f>
        <v>ก.ย.</v>
      </c>
      <c r="AHL5" s="17" t="s">
        <v>16</v>
      </c>
      <c r="AHM5" s="16" t="str">
        <f>+AGZ5</f>
        <v>ต.ค.</v>
      </c>
      <c r="AHN5" s="16" t="str">
        <f t="shared" ref="AHN5" si="665">+AHA5</f>
        <v>พ.ย.</v>
      </c>
      <c r="AHO5" s="16" t="str">
        <f t="shared" ref="AHO5" si="666">+AHB5</f>
        <v>ธ.ค.</v>
      </c>
      <c r="AHP5" s="16" t="str">
        <f t="shared" ref="AHP5" si="667">+AHC5</f>
        <v>ม.ค.</v>
      </c>
      <c r="AHQ5" s="16" t="str">
        <f t="shared" ref="AHQ5" si="668">+AHD5</f>
        <v>ก.พ.</v>
      </c>
      <c r="AHR5" s="16" t="str">
        <f t="shared" ref="AHR5" si="669">+AHE5</f>
        <v>มี.ค.</v>
      </c>
      <c r="AHS5" s="16" t="str">
        <f t="shared" ref="AHS5" si="670">+AHF5</f>
        <v>เม.ย.</v>
      </c>
      <c r="AHT5" s="16" t="str">
        <f t="shared" ref="AHT5" si="671">+AHG5</f>
        <v>พ.ค.</v>
      </c>
      <c r="AHU5" s="16" t="str">
        <f t="shared" ref="AHU5" si="672">+AHH5</f>
        <v>มิ.ย.</v>
      </c>
      <c r="AHV5" s="16" t="str">
        <f t="shared" ref="AHV5" si="673">+AHI5</f>
        <v>ก.ค.</v>
      </c>
      <c r="AHW5" s="16" t="str">
        <f t="shared" ref="AHW5" si="674">+AHJ5</f>
        <v>ส.ค.</v>
      </c>
      <c r="AHX5" s="16" t="str">
        <f t="shared" ref="AHX5" si="675">+AHK5</f>
        <v>ก.ย.</v>
      </c>
      <c r="AHY5" s="17" t="s">
        <v>16</v>
      </c>
      <c r="AHZ5" s="16" t="str">
        <f>+AHM5</f>
        <v>ต.ค.</v>
      </c>
      <c r="AIA5" s="16" t="str">
        <f t="shared" ref="AIA5" si="676">+AHN5</f>
        <v>พ.ย.</v>
      </c>
      <c r="AIB5" s="16" t="str">
        <f t="shared" ref="AIB5" si="677">+AHO5</f>
        <v>ธ.ค.</v>
      </c>
      <c r="AIC5" s="16" t="str">
        <f t="shared" ref="AIC5" si="678">+AHP5</f>
        <v>ม.ค.</v>
      </c>
      <c r="AID5" s="16" t="str">
        <f t="shared" ref="AID5" si="679">+AHQ5</f>
        <v>ก.พ.</v>
      </c>
      <c r="AIE5" s="16" t="str">
        <f t="shared" ref="AIE5" si="680">+AHR5</f>
        <v>มี.ค.</v>
      </c>
      <c r="AIF5" s="16" t="str">
        <f t="shared" ref="AIF5" si="681">+AHS5</f>
        <v>เม.ย.</v>
      </c>
      <c r="AIG5" s="16" t="str">
        <f t="shared" ref="AIG5" si="682">+AHT5</f>
        <v>พ.ค.</v>
      </c>
      <c r="AIH5" s="16" t="str">
        <f t="shared" ref="AIH5" si="683">+AHU5</f>
        <v>มิ.ย.</v>
      </c>
      <c r="AII5" s="16" t="str">
        <f t="shared" ref="AII5" si="684">+AHV5</f>
        <v>ก.ค.</v>
      </c>
      <c r="AIJ5" s="16" t="str">
        <f t="shared" ref="AIJ5" si="685">+AHW5</f>
        <v>ส.ค.</v>
      </c>
      <c r="AIK5" s="16" t="str">
        <f t="shared" ref="AIK5" si="686">+AHX5</f>
        <v>ก.ย.</v>
      </c>
      <c r="AIL5" s="17" t="s">
        <v>16</v>
      </c>
      <c r="AIM5" s="24"/>
      <c r="AIN5" s="16" t="str">
        <f>+AHZ5</f>
        <v>ต.ค.</v>
      </c>
      <c r="AIO5" s="16" t="str">
        <f t="shared" ref="AIO5" si="687">+AIA5</f>
        <v>พ.ย.</v>
      </c>
      <c r="AIP5" s="16" t="str">
        <f t="shared" ref="AIP5" si="688">+AIB5</f>
        <v>ธ.ค.</v>
      </c>
      <c r="AIQ5" s="16" t="str">
        <f t="shared" ref="AIQ5" si="689">+AIC5</f>
        <v>ม.ค.</v>
      </c>
      <c r="AIR5" s="16" t="str">
        <f t="shared" ref="AIR5" si="690">+AID5</f>
        <v>ก.พ.</v>
      </c>
      <c r="AIS5" s="16" t="str">
        <f t="shared" ref="AIS5" si="691">+AIE5</f>
        <v>มี.ค.</v>
      </c>
      <c r="AIT5" s="16" t="str">
        <f t="shared" ref="AIT5" si="692">+AIF5</f>
        <v>เม.ย.</v>
      </c>
      <c r="AIU5" s="16" t="str">
        <f t="shared" ref="AIU5" si="693">+AIG5</f>
        <v>พ.ค.</v>
      </c>
      <c r="AIV5" s="16" t="str">
        <f t="shared" ref="AIV5" si="694">+AIH5</f>
        <v>มิ.ย.</v>
      </c>
      <c r="AIW5" s="16" t="str">
        <f t="shared" ref="AIW5" si="695">+AII5</f>
        <v>ก.ค.</v>
      </c>
      <c r="AIX5" s="16" t="str">
        <f t="shared" ref="AIX5" si="696">+AIJ5</f>
        <v>ส.ค.</v>
      </c>
      <c r="AIY5" s="16" t="str">
        <f>+AIK5</f>
        <v>ก.ย.</v>
      </c>
      <c r="AIZ5" s="17" t="s">
        <v>16</v>
      </c>
      <c r="AJA5" s="16" t="str">
        <f>+AIN5</f>
        <v>ต.ค.</v>
      </c>
      <c r="AJB5" s="16" t="str">
        <f t="shared" ref="AJB5" si="697">+AIO5</f>
        <v>พ.ย.</v>
      </c>
      <c r="AJC5" s="16" t="str">
        <f t="shared" ref="AJC5" si="698">+AIP5</f>
        <v>ธ.ค.</v>
      </c>
      <c r="AJD5" s="16" t="str">
        <f t="shared" ref="AJD5" si="699">+AIQ5</f>
        <v>ม.ค.</v>
      </c>
      <c r="AJE5" s="16" t="str">
        <f t="shared" ref="AJE5" si="700">+AIR5</f>
        <v>ก.พ.</v>
      </c>
      <c r="AJF5" s="16" t="str">
        <f t="shared" ref="AJF5" si="701">+AIS5</f>
        <v>มี.ค.</v>
      </c>
      <c r="AJG5" s="16" t="str">
        <f t="shared" ref="AJG5" si="702">+AIT5</f>
        <v>เม.ย.</v>
      </c>
      <c r="AJH5" s="16" t="str">
        <f t="shared" ref="AJH5" si="703">+AIU5</f>
        <v>พ.ค.</v>
      </c>
      <c r="AJI5" s="16" t="str">
        <f t="shared" ref="AJI5" si="704">+AIV5</f>
        <v>มิ.ย.</v>
      </c>
      <c r="AJJ5" s="16" t="str">
        <f t="shared" ref="AJJ5" si="705">+AIW5</f>
        <v>ก.ค.</v>
      </c>
      <c r="AJK5" s="16" t="str">
        <f t="shared" ref="AJK5" si="706">+AIX5</f>
        <v>ส.ค.</v>
      </c>
      <c r="AJL5" s="16" t="str">
        <f t="shared" ref="AJL5" si="707">+AIY5</f>
        <v>ก.ย.</v>
      </c>
      <c r="AJM5" s="17" t="s">
        <v>16</v>
      </c>
      <c r="AJN5" s="16" t="str">
        <f>+AJA5</f>
        <v>ต.ค.</v>
      </c>
      <c r="AJO5" s="16" t="str">
        <f t="shared" ref="AJO5" si="708">+AJB5</f>
        <v>พ.ย.</v>
      </c>
      <c r="AJP5" s="16" t="str">
        <f t="shared" ref="AJP5" si="709">+AJC5</f>
        <v>ธ.ค.</v>
      </c>
      <c r="AJQ5" s="16" t="str">
        <f t="shared" ref="AJQ5" si="710">+AJD5</f>
        <v>ม.ค.</v>
      </c>
      <c r="AJR5" s="16" t="str">
        <f t="shared" ref="AJR5" si="711">+AJE5</f>
        <v>ก.พ.</v>
      </c>
      <c r="AJS5" s="16" t="str">
        <f t="shared" ref="AJS5" si="712">+AJF5</f>
        <v>มี.ค.</v>
      </c>
      <c r="AJT5" s="16" t="str">
        <f t="shared" ref="AJT5" si="713">+AJG5</f>
        <v>เม.ย.</v>
      </c>
      <c r="AJU5" s="16" t="str">
        <f t="shared" ref="AJU5" si="714">+AJH5</f>
        <v>พ.ค.</v>
      </c>
      <c r="AJV5" s="16" t="str">
        <f t="shared" ref="AJV5" si="715">+AJI5</f>
        <v>มิ.ย.</v>
      </c>
      <c r="AJW5" s="16" t="str">
        <f t="shared" ref="AJW5" si="716">+AJJ5</f>
        <v>ก.ค.</v>
      </c>
      <c r="AJX5" s="16" t="str">
        <f t="shared" ref="AJX5" si="717">+AJK5</f>
        <v>ส.ค.</v>
      </c>
      <c r="AJY5" s="16" t="str">
        <f t="shared" ref="AJY5" si="718">+AJL5</f>
        <v>ก.ย.</v>
      </c>
      <c r="AJZ5" s="17" t="s">
        <v>16</v>
      </c>
      <c r="AKA5" s="24"/>
      <c r="AKB5" s="24"/>
      <c r="AKC5" s="86"/>
    </row>
    <row r="6" spans="1:965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>
        <f>SUM(AR6:BC6)</f>
        <v>0</v>
      </c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>
        <f>SUM(BE6:BP6)</f>
        <v>0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f>SUM(BR6:CC6)</f>
        <v>0</v>
      </c>
      <c r="CE6" s="4">
        <f>+BD6+BQ6+CD6</f>
        <v>0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>
        <f>SUM(CF6:CQ6)</f>
        <v>0</v>
      </c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>
        <f>SUM(CS6:DD6)</f>
        <v>0</v>
      </c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>
        <f>SUM(DF6:DQ6)</f>
        <v>0</v>
      </c>
      <c r="DS6" s="4">
        <f>+CR6+DE6+DR6</f>
        <v>0</v>
      </c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>
        <f>SUM(DT6:EE6)</f>
        <v>0</v>
      </c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>
        <f>SUM(EG6:ER6)</f>
        <v>0</v>
      </c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>
        <f>SUM(ET6:FE6)</f>
        <v>0</v>
      </c>
      <c r="FG6" s="4">
        <f>+EF6+ES6+FF6</f>
        <v>0</v>
      </c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>
        <f>SUM(FH6:FS6)</f>
        <v>0</v>
      </c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>
        <f>SUM(FU6:GF6)</f>
        <v>0</v>
      </c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>
        <f>SUM(GH6:GS6)</f>
        <v>0</v>
      </c>
      <c r="GU6" s="4">
        <f>+FT6+GG6+GT6</f>
        <v>0</v>
      </c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>
        <f>SUM(GV6:HG6)</f>
        <v>0</v>
      </c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>
        <f>SUM(HI6:HT6)</f>
        <v>0</v>
      </c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>
        <f>SUM(HV6:IG6)</f>
        <v>0</v>
      </c>
      <c r="II6" s="4">
        <f>+HH6+HU6+IH6</f>
        <v>0</v>
      </c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>
        <f>SUM(IJ6:IU6)</f>
        <v>0</v>
      </c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>
        <f>SUM(IW6:JH6)</f>
        <v>0</v>
      </c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>
        <f>SUM(JJ6:JU6)</f>
        <v>0</v>
      </c>
      <c r="JW6" s="4">
        <f>+IV6+JI6+JV6</f>
        <v>0</v>
      </c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>
        <f>SUM(JX6:KI6)</f>
        <v>0</v>
      </c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>
        <f>SUM(KK6:KV6)</f>
        <v>0</v>
      </c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>
        <f>SUM(KX6:LI6)</f>
        <v>0</v>
      </c>
      <c r="LK6" s="4">
        <f>+KJ6+KW6+LJ6</f>
        <v>0</v>
      </c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>
        <f>SUM(LL6:LW6)</f>
        <v>0</v>
      </c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>
        <f>SUM(LY6:MJ6)</f>
        <v>0</v>
      </c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>
        <f>SUM(ML6:MW6)</f>
        <v>0</v>
      </c>
      <c r="MY6" s="4">
        <f>+LX6+MK6+MX6</f>
        <v>0</v>
      </c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>
        <f>SUM(MZ6:NK6)</f>
        <v>0</v>
      </c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>
        <f>SUM(NM6:NX6)</f>
        <v>0</v>
      </c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>
        <f>SUM(NZ6:OK6)</f>
        <v>0</v>
      </c>
      <c r="OM6" s="4">
        <f>+NL6+NY6+OL6</f>
        <v>0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>
        <f>SUM(ON6:OY6)</f>
        <v>0</v>
      </c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>
        <f>SUM(PA6:PL6)</f>
        <v>0</v>
      </c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>
        <f>SUM(PN6:PY6)</f>
        <v>0</v>
      </c>
      <c r="QA6" s="4">
        <f>+OZ6+PM6+PZ6</f>
        <v>0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f>SUM(QB6:QM6)</f>
        <v>0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>
        <f>SUM(QO6:QZ6)</f>
        <v>0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>
        <f>SUM(RB6:RM6)</f>
        <v>0</v>
      </c>
      <c r="RO6" s="4">
        <f>+QN6+RA6+RN6</f>
        <v>0</v>
      </c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>
        <f>SUM(RP6:SA6)</f>
        <v>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>
        <f>SUM(SC6:SN6)</f>
        <v>0</v>
      </c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f>SUM(SP6:TA6)</f>
        <v>0</v>
      </c>
      <c r="TC6" s="4">
        <f>+SB6+SO6+TB6</f>
        <v>0</v>
      </c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>
        <f>SUM(TD6:TO6)</f>
        <v>0</v>
      </c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f>SUM(TQ6:UB6)</f>
        <v>0</v>
      </c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>
        <f>SUM(UD6:UO6)</f>
        <v>0</v>
      </c>
      <c r="UQ6" s="4">
        <f>+TP6+UC6+UP6</f>
        <v>0</v>
      </c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>
        <f>SUM(UR6:VC6)</f>
        <v>0</v>
      </c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>
        <f>SUM(VE6:VP6)</f>
        <v>0</v>
      </c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>
        <f>SUM(VR6:WC6)</f>
        <v>0</v>
      </c>
      <c r="WE6" s="4">
        <f>+VD6+VQ6+WD6</f>
        <v>0</v>
      </c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>
        <f>SUM(WF6:WQ6)</f>
        <v>0</v>
      </c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>
        <f>SUM(WS6:XD6)</f>
        <v>0</v>
      </c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>
        <f>SUM(XF6:XQ6)</f>
        <v>0</v>
      </c>
      <c r="XS6" s="4">
        <f>+WR6+XE6+XR6</f>
        <v>0</v>
      </c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>
        <f>SUM(XT6:YE6)</f>
        <v>0</v>
      </c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>
        <f>SUM(YG6:YR6)</f>
        <v>0</v>
      </c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>
        <f>SUM(YT6:ZE6)</f>
        <v>0</v>
      </c>
      <c r="ZG6" s="4">
        <f>+YF6+YS6+ZF6</f>
        <v>0</v>
      </c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>
        <f>SUM(ZH6:ZS6)</f>
        <v>0</v>
      </c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>
        <f>SUM(ZU6:AAF6)</f>
        <v>0</v>
      </c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>
        <f>SUM(AAH6:AAS6)</f>
        <v>0</v>
      </c>
      <c r="AAU6" s="4">
        <f>+ZT6+AAG6+AAT6</f>
        <v>0</v>
      </c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>
        <f>SUM(AAV6:ABG6)</f>
        <v>0</v>
      </c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>
        <f>SUM(ABI6:ABT6)</f>
        <v>0</v>
      </c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>
        <f>SUM(ABV6:ACG6)</f>
        <v>0</v>
      </c>
      <c r="ACI6" s="4">
        <f>+ABH6+ABU6+ACH6</f>
        <v>0</v>
      </c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>
        <f>SUM(ACJ6:ACU6)</f>
        <v>0</v>
      </c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>
        <f>SUM(ACW6:ADH6)</f>
        <v>0</v>
      </c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>
        <f>SUM(ADJ6:ADU6)</f>
        <v>0</v>
      </c>
      <c r="ADW6" s="4">
        <f>+ACV6+ADI6+ADV6</f>
        <v>0</v>
      </c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>
        <f>SUM(ADX6:AEI6)</f>
        <v>0</v>
      </c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>
        <f>SUM(AEK6:AEV6)</f>
        <v>0</v>
      </c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>
        <f>SUM(AEX6:AFI6)</f>
        <v>0</v>
      </c>
      <c r="AFK6" s="4">
        <f>+AEJ6+AEW6+AFJ6</f>
        <v>0</v>
      </c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>
        <f>SUM(AFL6:AFW6)</f>
        <v>0</v>
      </c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>
        <f>SUM(AFY6:AGJ6)</f>
        <v>0</v>
      </c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>
        <f>SUM(AGL6:AGW6)</f>
        <v>0</v>
      </c>
      <c r="AGY6" s="4">
        <f>+AFX6+AGK6+AGX6</f>
        <v>0</v>
      </c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>
        <f>SUM(AGZ6:AHK6)</f>
        <v>0</v>
      </c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>
        <f>SUM(AHM6:AHX6)</f>
        <v>0</v>
      </c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>
        <f>SUM(AHZ6:AIK6)</f>
        <v>0</v>
      </c>
      <c r="AIM6" s="4">
        <f>+AHL6+AHY6+AIL6</f>
        <v>0</v>
      </c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>
        <f>SUM(AIN6:AIY6)</f>
        <v>0</v>
      </c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>
        <f>SUM(AJA6:AJL6)</f>
        <v>0</v>
      </c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>
        <f>SUM(AJN6:AJY6)</f>
        <v>0</v>
      </c>
      <c r="AKA6" s="4">
        <f>+AIZ6+AJM6+AJZ6</f>
        <v>0</v>
      </c>
      <c r="AKB6" s="13">
        <f>+AQ6+CE6+DS6+FG6+GU6+II6+JW6+LK6+MY6+OM6+QA6+RO6+TC6+UQ6+WE6+XS6+ZG6+AAU6+ACI6+ADW6+AFK6+AGY6+AIM6+AKA6</f>
        <v>0</v>
      </c>
    </row>
    <row r="7" spans="1:965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719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720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721">SUM(AD7:AO7)</f>
        <v>0</v>
      </c>
      <c r="AQ7" s="4">
        <f t="shared" ref="AQ7:AQ40" si="722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723">SUM(AR7:BC7)</f>
        <v>0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>
        <f t="shared" ref="BQ7:BQ40" si="724">SUM(BE7:BP7)</f>
        <v>0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>
        <f t="shared" ref="CD7:CD40" si="725">SUM(BR7:CC7)</f>
        <v>0</v>
      </c>
      <c r="CE7" s="4">
        <f t="shared" ref="CE7:CE40" si="726">+BD7+BQ7+CD7</f>
        <v>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>
        <f t="shared" ref="CR7:CR40" si="727">SUM(CF7:CQ7)</f>
        <v>0</v>
      </c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>
        <f t="shared" ref="DE7:DE40" si="728">SUM(CS7:DD7)</f>
        <v>0</v>
      </c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>
        <f t="shared" ref="DR7:DR40" si="729">SUM(DF7:DQ7)</f>
        <v>0</v>
      </c>
      <c r="DS7" s="4">
        <f t="shared" ref="DS7:DS40" si="730">+CR7+DE7+DR7</f>
        <v>0</v>
      </c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>
        <f t="shared" ref="EF7:EF40" si="731">SUM(DT7:EE7)</f>
        <v>0</v>
      </c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>
        <f t="shared" ref="ES7:ES40" si="732">SUM(EG7:ER7)</f>
        <v>0</v>
      </c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>
        <f t="shared" ref="FF7:FF40" si="733">SUM(ET7:FE7)</f>
        <v>0</v>
      </c>
      <c r="FG7" s="4">
        <f t="shared" ref="FG7:FG40" si="734">+EF7+ES7+FF7</f>
        <v>0</v>
      </c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>
        <f t="shared" ref="FT7:FT40" si="735">SUM(FH7:FS7)</f>
        <v>0</v>
      </c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>
        <f t="shared" ref="GG7:GG40" si="736">SUM(FU7:GF7)</f>
        <v>0</v>
      </c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>
        <f t="shared" ref="GT7:GT40" si="737">SUM(GH7:GS7)</f>
        <v>0</v>
      </c>
      <c r="GU7" s="4">
        <f t="shared" ref="GU7:GU40" si="738">+FT7+GG7+GT7</f>
        <v>0</v>
      </c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>
        <f t="shared" ref="HH7:HH40" si="739">SUM(GV7:HG7)</f>
        <v>0</v>
      </c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>
        <f t="shared" ref="HU7:HU40" si="740">SUM(HI7:HT7)</f>
        <v>0</v>
      </c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>
        <f t="shared" ref="IH7:IH40" si="741">SUM(HV7:IG7)</f>
        <v>0</v>
      </c>
      <c r="II7" s="4">
        <f t="shared" ref="II7:II40" si="742">+HH7+HU7+IH7</f>
        <v>0</v>
      </c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>
        <f t="shared" ref="IV7:IV40" si="743">SUM(IJ7:IU7)</f>
        <v>0</v>
      </c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>
        <f t="shared" ref="JI7:JI40" si="744">SUM(IW7:JH7)</f>
        <v>0</v>
      </c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>
        <f t="shared" ref="JV7:JV40" si="745">SUM(JJ7:JU7)</f>
        <v>0</v>
      </c>
      <c r="JW7" s="4">
        <f t="shared" ref="JW7:JW40" si="746">+IV7+JI7+JV7</f>
        <v>0</v>
      </c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>
        <f t="shared" ref="KJ7:KJ40" si="747">SUM(JX7:KI7)</f>
        <v>0</v>
      </c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>
        <f t="shared" ref="KW7:KW40" si="748">SUM(KK7:KV7)</f>
        <v>0</v>
      </c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>
        <f t="shared" ref="LJ7:LJ40" si="749">SUM(KX7:LI7)</f>
        <v>0</v>
      </c>
      <c r="LK7" s="4">
        <f t="shared" ref="LK7:LK40" si="750">+KJ7+KW7+LJ7</f>
        <v>0</v>
      </c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>
        <f t="shared" ref="LX7:LX40" si="751">SUM(LL7:LW7)</f>
        <v>0</v>
      </c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>
        <f t="shared" ref="MK7:MK40" si="752">SUM(LY7:MJ7)</f>
        <v>0</v>
      </c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>
        <f t="shared" ref="MX7:MX40" si="753">SUM(ML7:MW7)</f>
        <v>0</v>
      </c>
      <c r="MY7" s="4">
        <f t="shared" ref="MY7:MY40" si="754">+LX7+MK7+MX7</f>
        <v>0</v>
      </c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>
        <f t="shared" ref="NL7:NL40" si="755">SUM(MZ7:NK7)</f>
        <v>0</v>
      </c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>
        <f t="shared" ref="NY7:NY40" si="756">SUM(NM7:NX7)</f>
        <v>0</v>
      </c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>
        <f t="shared" ref="OL7:OL40" si="757">SUM(NZ7:OK7)</f>
        <v>0</v>
      </c>
      <c r="OM7" s="4">
        <f t="shared" ref="OM7:OM40" si="758">+NL7+NY7+OL7</f>
        <v>0</v>
      </c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>
        <f t="shared" ref="OZ7:OZ40" si="759">SUM(ON7:OY7)</f>
        <v>0</v>
      </c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>
        <f t="shared" ref="PM7:PM40" si="760">SUM(PA7:PL7)</f>
        <v>0</v>
      </c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>
        <f t="shared" ref="PZ7:PZ40" si="761">SUM(PN7:PY7)</f>
        <v>0</v>
      </c>
      <c r="QA7" s="4">
        <f t="shared" ref="QA7:QA40" si="762">+OZ7+PM7+PZ7</f>
        <v>0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f t="shared" ref="QN7:QN40" si="763">SUM(QB7:QM7)</f>
        <v>0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>
        <f t="shared" ref="RA7:RA40" si="764">SUM(QO7:QZ7)</f>
        <v>0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>
        <f t="shared" ref="RN7:RN40" si="765">SUM(RB7:RM7)</f>
        <v>0</v>
      </c>
      <c r="RO7" s="4">
        <f t="shared" ref="RO7:RO40" si="766">+QN7+RA7+RN7</f>
        <v>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f t="shared" ref="SB7:SB40" si="767">SUM(RP7:SA7)</f>
        <v>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f t="shared" ref="SO7:SO40" si="768">SUM(SC7:SN7)</f>
        <v>0</v>
      </c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f t="shared" ref="TB7:TB40" si="769">SUM(SP7:TA7)</f>
        <v>0</v>
      </c>
      <c r="TC7" s="4">
        <f t="shared" ref="TC7:TC40" si="770">+SB7+SO7+TB7</f>
        <v>0</v>
      </c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>
        <f t="shared" ref="TP7:TP40" si="771">SUM(TD7:TO7)</f>
        <v>0</v>
      </c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f t="shared" ref="UC7:UC40" si="772">SUM(TQ7:UB7)</f>
        <v>0</v>
      </c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>
        <f t="shared" ref="UP7:UP40" si="773">SUM(UD7:UO7)</f>
        <v>0</v>
      </c>
      <c r="UQ7" s="4">
        <f t="shared" ref="UQ7:UQ40" si="774">+TP7+UC7+UP7</f>
        <v>0</v>
      </c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>
        <f t="shared" ref="VD7:VD40" si="775">SUM(UR7:VC7)</f>
        <v>0</v>
      </c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>
        <f t="shared" ref="VQ7:VQ40" si="776">SUM(VE7:VP7)</f>
        <v>0</v>
      </c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>
        <f t="shared" ref="WD7:WD40" si="777">SUM(VR7:WC7)</f>
        <v>0</v>
      </c>
      <c r="WE7" s="4">
        <f t="shared" ref="WE7:WE40" si="778">+VD7+VQ7+WD7</f>
        <v>0</v>
      </c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>
        <f t="shared" ref="WR7:WR40" si="779">SUM(WF7:WQ7)</f>
        <v>0</v>
      </c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>
        <f t="shared" ref="XE7:XE40" si="780">SUM(WS7:XD7)</f>
        <v>0</v>
      </c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>
        <f t="shared" ref="XR7:XR40" si="781">SUM(XF7:XQ7)</f>
        <v>0</v>
      </c>
      <c r="XS7" s="4">
        <f t="shared" ref="XS7:XS40" si="782">+WR7+XE7+XR7</f>
        <v>0</v>
      </c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>
        <f t="shared" ref="YF7:YF40" si="783">SUM(XT7:YE7)</f>
        <v>0</v>
      </c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>
        <f t="shared" ref="YS7:YS40" si="784">SUM(YG7:YR7)</f>
        <v>0</v>
      </c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>
        <f t="shared" ref="ZF7:ZF40" si="785">SUM(YT7:ZE7)</f>
        <v>0</v>
      </c>
      <c r="ZG7" s="4">
        <f t="shared" ref="ZG7:ZG40" si="786">+YF7+YS7+ZF7</f>
        <v>0</v>
      </c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>
        <f t="shared" ref="ZT7:ZT40" si="787">SUM(ZH7:ZS7)</f>
        <v>0</v>
      </c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>
        <f t="shared" ref="AAG7:AAG40" si="788">SUM(ZU7:AAF7)</f>
        <v>0</v>
      </c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>
        <f t="shared" ref="AAT7:AAT40" si="789">SUM(AAH7:AAS7)</f>
        <v>0</v>
      </c>
      <c r="AAU7" s="4">
        <f t="shared" ref="AAU7:AAU40" si="790">+ZT7+AAG7+AAT7</f>
        <v>0</v>
      </c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>
        <f t="shared" ref="ABH7:ABH40" si="791">SUM(AAV7:ABG7)</f>
        <v>0</v>
      </c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>
        <f t="shared" ref="ABU7:ABU40" si="792">SUM(ABI7:ABT7)</f>
        <v>0</v>
      </c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>
        <f t="shared" ref="ACH7:ACH40" si="793">SUM(ABV7:ACG7)</f>
        <v>0</v>
      </c>
      <c r="ACI7" s="4">
        <f t="shared" ref="ACI7:ACI40" si="794">+ABH7+ABU7+ACH7</f>
        <v>0</v>
      </c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>
        <f t="shared" ref="ACV7:ACV40" si="795">SUM(ACJ7:ACU7)</f>
        <v>0</v>
      </c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>
        <f t="shared" ref="ADI7:ADI40" si="796">SUM(ACW7:ADH7)</f>
        <v>0</v>
      </c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>
        <f t="shared" ref="ADV7:ADV40" si="797">SUM(ADJ7:ADU7)</f>
        <v>0</v>
      </c>
      <c r="ADW7" s="4">
        <f t="shared" ref="ADW7:ADW40" si="798">+ACV7+ADI7+ADV7</f>
        <v>0</v>
      </c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>
        <f t="shared" ref="AEJ7:AEJ40" si="799">SUM(ADX7:AEI7)</f>
        <v>0</v>
      </c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>
        <f t="shared" ref="AEW7:AEW40" si="800">SUM(AEK7:AEV7)</f>
        <v>0</v>
      </c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>
        <f t="shared" ref="AFJ7:AFJ40" si="801">SUM(AEX7:AFI7)</f>
        <v>0</v>
      </c>
      <c r="AFK7" s="4">
        <f t="shared" ref="AFK7:AFK40" si="802">+AEJ7+AEW7+AFJ7</f>
        <v>0</v>
      </c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>
        <f t="shared" ref="AFX7:AFX40" si="803">SUM(AFL7:AFW7)</f>
        <v>0</v>
      </c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>
        <f t="shared" ref="AGK7:AGK40" si="804">SUM(AFY7:AGJ7)</f>
        <v>0</v>
      </c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>
        <f t="shared" ref="AGX7:AGX40" si="805">SUM(AGL7:AGW7)</f>
        <v>0</v>
      </c>
      <c r="AGY7" s="4">
        <f t="shared" ref="AGY7:AGY40" si="806">+AFX7+AGK7+AGX7</f>
        <v>0</v>
      </c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>
        <f t="shared" ref="AHL7:AHL40" si="807">SUM(AGZ7:AHK7)</f>
        <v>0</v>
      </c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>
        <f t="shared" ref="AHY7:AHY40" si="808">SUM(AHM7:AHX7)</f>
        <v>0</v>
      </c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>
        <f t="shared" ref="AIL7:AIL40" si="809">SUM(AHZ7:AIK7)</f>
        <v>0</v>
      </c>
      <c r="AIM7" s="4">
        <f t="shared" ref="AIM7:AIM40" si="810">+AHL7+AHY7+AIL7</f>
        <v>0</v>
      </c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>
        <f t="shared" ref="AIZ7:AIZ40" si="811">SUM(AIN7:AIY7)</f>
        <v>0</v>
      </c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>
        <f t="shared" ref="AJM7:AJM40" si="812">SUM(AJA7:AJL7)</f>
        <v>0</v>
      </c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>
        <f t="shared" ref="AJZ7:AJZ40" si="813">SUM(AJN7:AJY7)</f>
        <v>0</v>
      </c>
      <c r="AKA7" s="4">
        <f t="shared" ref="AKA7:AKA40" si="814">+AIZ7+AJM7+AJZ7</f>
        <v>0</v>
      </c>
      <c r="AKB7" s="13">
        <f t="shared" ref="AKB7:AKB39" si="815">+AQ7+CE7+DS7+FG7+GU7+II7+JW7+LK7+MY7+OM7+QA7+RO7+TC7+UQ7+WE7+XS7+ZG7+AAU7+ACI7+ADW7+AFK7+AGY7+AIM7+AKA7</f>
        <v>0</v>
      </c>
    </row>
    <row r="8" spans="1:965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719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720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721"/>
        <v>0</v>
      </c>
      <c r="AQ8" s="4">
        <f t="shared" si="722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723"/>
        <v>0</v>
      </c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>
        <f t="shared" si="724"/>
        <v>0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>
        <f t="shared" si="725"/>
        <v>0</v>
      </c>
      <c r="CE8" s="4">
        <f t="shared" si="726"/>
        <v>0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>
        <f t="shared" si="727"/>
        <v>0</v>
      </c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>
        <f t="shared" si="728"/>
        <v>0</v>
      </c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>
        <f t="shared" si="729"/>
        <v>0</v>
      </c>
      <c r="DS8" s="4">
        <f t="shared" si="730"/>
        <v>0</v>
      </c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>
        <f t="shared" si="731"/>
        <v>0</v>
      </c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>
        <f t="shared" si="732"/>
        <v>0</v>
      </c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>
        <f t="shared" si="733"/>
        <v>0</v>
      </c>
      <c r="FG8" s="4">
        <f t="shared" si="734"/>
        <v>0</v>
      </c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>
        <f t="shared" si="735"/>
        <v>0</v>
      </c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>
        <f t="shared" si="736"/>
        <v>0</v>
      </c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>
        <f t="shared" si="737"/>
        <v>0</v>
      </c>
      <c r="GU8" s="4">
        <f t="shared" si="738"/>
        <v>0</v>
      </c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>
        <f t="shared" si="739"/>
        <v>0</v>
      </c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>
        <f t="shared" si="740"/>
        <v>0</v>
      </c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>
        <f t="shared" si="741"/>
        <v>0</v>
      </c>
      <c r="II8" s="4">
        <f t="shared" si="742"/>
        <v>0</v>
      </c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>
        <f t="shared" si="743"/>
        <v>0</v>
      </c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>
        <f t="shared" si="744"/>
        <v>0</v>
      </c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>
        <f t="shared" si="745"/>
        <v>0</v>
      </c>
      <c r="JW8" s="4">
        <f t="shared" si="746"/>
        <v>0</v>
      </c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>
        <f t="shared" si="747"/>
        <v>0</v>
      </c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>
        <f t="shared" si="748"/>
        <v>0</v>
      </c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>
        <f t="shared" si="749"/>
        <v>0</v>
      </c>
      <c r="LK8" s="4">
        <f t="shared" si="750"/>
        <v>0</v>
      </c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>
        <f t="shared" si="751"/>
        <v>0</v>
      </c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>
        <f t="shared" si="752"/>
        <v>0</v>
      </c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>
        <f t="shared" si="753"/>
        <v>0</v>
      </c>
      <c r="MY8" s="4">
        <f t="shared" si="754"/>
        <v>0</v>
      </c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>
        <f t="shared" si="755"/>
        <v>0</v>
      </c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>
        <f t="shared" si="756"/>
        <v>0</v>
      </c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>
        <f t="shared" si="757"/>
        <v>0</v>
      </c>
      <c r="OM8" s="4">
        <f t="shared" si="758"/>
        <v>0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>
        <f t="shared" si="759"/>
        <v>0</v>
      </c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>
        <f t="shared" si="760"/>
        <v>0</v>
      </c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>
        <f t="shared" si="761"/>
        <v>0</v>
      </c>
      <c r="QA8" s="4">
        <f t="shared" si="762"/>
        <v>0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>
        <f t="shared" si="763"/>
        <v>0</v>
      </c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>
        <f t="shared" si="764"/>
        <v>0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>
        <f t="shared" si="765"/>
        <v>0</v>
      </c>
      <c r="RO8" s="4">
        <f t="shared" si="766"/>
        <v>0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>
        <f t="shared" si="767"/>
        <v>0</v>
      </c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f t="shared" si="768"/>
        <v>0</v>
      </c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>
        <f t="shared" si="769"/>
        <v>0</v>
      </c>
      <c r="TC8" s="4">
        <f t="shared" si="770"/>
        <v>0</v>
      </c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>
        <f t="shared" si="771"/>
        <v>0</v>
      </c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f t="shared" si="772"/>
        <v>0</v>
      </c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>
        <f t="shared" si="773"/>
        <v>0</v>
      </c>
      <c r="UQ8" s="4">
        <f t="shared" si="774"/>
        <v>0</v>
      </c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>
        <f t="shared" si="775"/>
        <v>0</v>
      </c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>
        <f t="shared" si="776"/>
        <v>0</v>
      </c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>
        <f t="shared" si="777"/>
        <v>0</v>
      </c>
      <c r="WE8" s="4">
        <f t="shared" si="778"/>
        <v>0</v>
      </c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>
        <f t="shared" si="779"/>
        <v>0</v>
      </c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>
        <f t="shared" si="780"/>
        <v>0</v>
      </c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>
        <f t="shared" si="781"/>
        <v>0</v>
      </c>
      <c r="XS8" s="4">
        <f t="shared" si="782"/>
        <v>0</v>
      </c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>
        <f t="shared" si="783"/>
        <v>0</v>
      </c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>
        <f t="shared" si="784"/>
        <v>0</v>
      </c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>
        <f t="shared" si="785"/>
        <v>0</v>
      </c>
      <c r="ZG8" s="4">
        <f t="shared" si="786"/>
        <v>0</v>
      </c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>
        <f t="shared" si="787"/>
        <v>0</v>
      </c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>
        <f t="shared" si="788"/>
        <v>0</v>
      </c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>
        <f t="shared" si="789"/>
        <v>0</v>
      </c>
      <c r="AAU8" s="4">
        <f t="shared" si="790"/>
        <v>0</v>
      </c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>
        <f t="shared" si="791"/>
        <v>0</v>
      </c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>
        <f t="shared" si="792"/>
        <v>0</v>
      </c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>
        <f t="shared" si="793"/>
        <v>0</v>
      </c>
      <c r="ACI8" s="4">
        <f t="shared" si="794"/>
        <v>0</v>
      </c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>
        <f t="shared" si="795"/>
        <v>0</v>
      </c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>
        <f t="shared" si="796"/>
        <v>0</v>
      </c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>
        <f t="shared" si="797"/>
        <v>0</v>
      </c>
      <c r="ADW8" s="4">
        <f t="shared" si="798"/>
        <v>0</v>
      </c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>
        <f t="shared" si="799"/>
        <v>0</v>
      </c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>
        <f t="shared" si="800"/>
        <v>0</v>
      </c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>
        <f t="shared" si="801"/>
        <v>0</v>
      </c>
      <c r="AFK8" s="4">
        <f t="shared" si="802"/>
        <v>0</v>
      </c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>
        <f t="shared" si="803"/>
        <v>0</v>
      </c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>
        <f t="shared" si="804"/>
        <v>0</v>
      </c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>
        <f t="shared" si="805"/>
        <v>0</v>
      </c>
      <c r="AGY8" s="4">
        <f t="shared" si="806"/>
        <v>0</v>
      </c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>
        <f t="shared" si="807"/>
        <v>0</v>
      </c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>
        <f t="shared" si="808"/>
        <v>0</v>
      </c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>
        <f t="shared" si="809"/>
        <v>0</v>
      </c>
      <c r="AIM8" s="4">
        <f t="shared" si="810"/>
        <v>0</v>
      </c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>
        <f t="shared" si="811"/>
        <v>0</v>
      </c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>
        <f t="shared" si="812"/>
        <v>0</v>
      </c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>
        <f t="shared" si="813"/>
        <v>0</v>
      </c>
      <c r="AKA8" s="4">
        <f t="shared" si="814"/>
        <v>0</v>
      </c>
      <c r="AKB8" s="13">
        <f t="shared" si="815"/>
        <v>0</v>
      </c>
    </row>
    <row r="9" spans="1:965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719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720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721"/>
        <v>0</v>
      </c>
      <c r="AQ9" s="4">
        <f t="shared" si="722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723"/>
        <v>0</v>
      </c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f t="shared" si="724"/>
        <v>0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>
        <f t="shared" si="725"/>
        <v>0</v>
      </c>
      <c r="CE9" s="4">
        <f t="shared" si="726"/>
        <v>0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>
        <f t="shared" si="727"/>
        <v>0</v>
      </c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>
        <f t="shared" si="728"/>
        <v>0</v>
      </c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>
        <f t="shared" si="729"/>
        <v>0</v>
      </c>
      <c r="DS9" s="4">
        <f t="shared" si="730"/>
        <v>0</v>
      </c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>
        <f t="shared" si="731"/>
        <v>0</v>
      </c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>
        <f t="shared" si="732"/>
        <v>0</v>
      </c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>
        <f t="shared" si="733"/>
        <v>0</v>
      </c>
      <c r="FG9" s="4">
        <f t="shared" si="734"/>
        <v>0</v>
      </c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>
        <f t="shared" si="735"/>
        <v>0</v>
      </c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>
        <f t="shared" si="736"/>
        <v>0</v>
      </c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>
        <f t="shared" si="737"/>
        <v>0</v>
      </c>
      <c r="GU9" s="4">
        <f t="shared" si="738"/>
        <v>0</v>
      </c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>
        <f t="shared" si="739"/>
        <v>0</v>
      </c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>
        <f t="shared" si="740"/>
        <v>0</v>
      </c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>
        <f t="shared" si="741"/>
        <v>0</v>
      </c>
      <c r="II9" s="4">
        <f t="shared" si="742"/>
        <v>0</v>
      </c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>
        <f t="shared" si="743"/>
        <v>0</v>
      </c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>
        <f t="shared" si="744"/>
        <v>0</v>
      </c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>
        <f t="shared" si="745"/>
        <v>0</v>
      </c>
      <c r="JW9" s="4">
        <f t="shared" si="746"/>
        <v>0</v>
      </c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>
        <f t="shared" si="747"/>
        <v>0</v>
      </c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>
        <f t="shared" si="748"/>
        <v>0</v>
      </c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>
        <f t="shared" si="749"/>
        <v>0</v>
      </c>
      <c r="LK9" s="4">
        <f t="shared" si="750"/>
        <v>0</v>
      </c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>
        <f t="shared" si="751"/>
        <v>0</v>
      </c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>
        <f t="shared" si="752"/>
        <v>0</v>
      </c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>
        <f t="shared" si="753"/>
        <v>0</v>
      </c>
      <c r="MY9" s="4">
        <f t="shared" si="754"/>
        <v>0</v>
      </c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>
        <f t="shared" si="755"/>
        <v>0</v>
      </c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>
        <f t="shared" si="756"/>
        <v>0</v>
      </c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>
        <f t="shared" si="757"/>
        <v>0</v>
      </c>
      <c r="OM9" s="4">
        <f t="shared" si="758"/>
        <v>0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>
        <f t="shared" si="759"/>
        <v>0</v>
      </c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>
        <f t="shared" si="760"/>
        <v>0</v>
      </c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>
        <f t="shared" si="761"/>
        <v>0</v>
      </c>
      <c r="QA9" s="4">
        <f t="shared" si="762"/>
        <v>0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>
        <f t="shared" si="763"/>
        <v>0</v>
      </c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f t="shared" si="764"/>
        <v>0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>
        <f t="shared" si="765"/>
        <v>0</v>
      </c>
      <c r="RO9" s="4">
        <f t="shared" si="766"/>
        <v>0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>
        <f t="shared" si="767"/>
        <v>0</v>
      </c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f t="shared" si="768"/>
        <v>0</v>
      </c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f t="shared" si="769"/>
        <v>0</v>
      </c>
      <c r="TC9" s="4">
        <f t="shared" si="770"/>
        <v>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f t="shared" si="771"/>
        <v>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f t="shared" si="772"/>
        <v>0</v>
      </c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>
        <f t="shared" si="773"/>
        <v>0</v>
      </c>
      <c r="UQ9" s="4">
        <f t="shared" si="774"/>
        <v>0</v>
      </c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f t="shared" si="775"/>
        <v>0</v>
      </c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>
        <f t="shared" si="776"/>
        <v>0</v>
      </c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>
        <f t="shared" si="777"/>
        <v>0</v>
      </c>
      <c r="WE9" s="4">
        <f t="shared" si="778"/>
        <v>0</v>
      </c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>
        <f t="shared" si="779"/>
        <v>0</v>
      </c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>
        <f t="shared" si="780"/>
        <v>0</v>
      </c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>
        <f t="shared" si="781"/>
        <v>0</v>
      </c>
      <c r="XS9" s="4">
        <f t="shared" si="782"/>
        <v>0</v>
      </c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>
        <f t="shared" si="783"/>
        <v>0</v>
      </c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>
        <f t="shared" si="784"/>
        <v>0</v>
      </c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>
        <f t="shared" si="785"/>
        <v>0</v>
      </c>
      <c r="ZG9" s="4">
        <f t="shared" si="786"/>
        <v>0</v>
      </c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>
        <f t="shared" si="787"/>
        <v>0</v>
      </c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>
        <f t="shared" si="788"/>
        <v>0</v>
      </c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>
        <f t="shared" si="789"/>
        <v>0</v>
      </c>
      <c r="AAU9" s="4">
        <f t="shared" si="790"/>
        <v>0</v>
      </c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>
        <f t="shared" si="791"/>
        <v>0</v>
      </c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>
        <f t="shared" si="792"/>
        <v>0</v>
      </c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>
        <f t="shared" si="793"/>
        <v>0</v>
      </c>
      <c r="ACI9" s="4">
        <f t="shared" si="794"/>
        <v>0</v>
      </c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>
        <f t="shared" si="795"/>
        <v>0</v>
      </c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>
        <f t="shared" si="796"/>
        <v>0</v>
      </c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>
        <f t="shared" si="797"/>
        <v>0</v>
      </c>
      <c r="ADW9" s="4">
        <f t="shared" si="798"/>
        <v>0</v>
      </c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>
        <f t="shared" si="799"/>
        <v>0</v>
      </c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>
        <f t="shared" si="800"/>
        <v>0</v>
      </c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>
        <f t="shared" si="801"/>
        <v>0</v>
      </c>
      <c r="AFK9" s="4">
        <f t="shared" si="802"/>
        <v>0</v>
      </c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>
        <f t="shared" si="803"/>
        <v>0</v>
      </c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>
        <f t="shared" si="804"/>
        <v>0</v>
      </c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>
        <f t="shared" si="805"/>
        <v>0</v>
      </c>
      <c r="AGY9" s="4">
        <f t="shared" si="806"/>
        <v>0</v>
      </c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>
        <f t="shared" si="807"/>
        <v>0</v>
      </c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>
        <f t="shared" si="808"/>
        <v>0</v>
      </c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>
        <f t="shared" si="809"/>
        <v>0</v>
      </c>
      <c r="AIM9" s="4">
        <f t="shared" si="810"/>
        <v>0</v>
      </c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>
        <f t="shared" si="811"/>
        <v>0</v>
      </c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>
        <f t="shared" si="812"/>
        <v>0</v>
      </c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>
        <f t="shared" si="813"/>
        <v>0</v>
      </c>
      <c r="AKA9" s="4">
        <f t="shared" si="814"/>
        <v>0</v>
      </c>
      <c r="AKB9" s="13">
        <f t="shared" si="815"/>
        <v>0</v>
      </c>
    </row>
    <row r="10" spans="1:965" x14ac:dyDescent="0.35">
      <c r="A10" s="5"/>
      <c r="B10" s="5" t="s">
        <v>9</v>
      </c>
      <c r="C10" s="5" t="s">
        <v>17</v>
      </c>
      <c r="D10" s="4">
        <v>20610</v>
      </c>
      <c r="E10" s="4">
        <v>20610</v>
      </c>
      <c r="F10" s="4">
        <v>20610</v>
      </c>
      <c r="G10" s="4">
        <v>20610</v>
      </c>
      <c r="H10" s="4">
        <v>20610</v>
      </c>
      <c r="I10" s="4">
        <v>20610</v>
      </c>
      <c r="J10" s="37">
        <f>6000+21610</f>
        <v>27610</v>
      </c>
      <c r="K10" s="4">
        <v>21610</v>
      </c>
      <c r="L10" s="4">
        <v>21610</v>
      </c>
      <c r="M10" s="4">
        <v>21610</v>
      </c>
      <c r="N10" s="4">
        <v>21610</v>
      </c>
      <c r="O10" s="4">
        <v>21610</v>
      </c>
      <c r="P10" s="4">
        <f t="shared" si="719"/>
        <v>259320</v>
      </c>
      <c r="Q10" s="4">
        <v>750</v>
      </c>
      <c r="R10" s="4">
        <v>750</v>
      </c>
      <c r="S10" s="4">
        <v>750</v>
      </c>
      <c r="T10" s="4">
        <v>750</v>
      </c>
      <c r="U10" s="4">
        <v>750</v>
      </c>
      <c r="V10" s="4">
        <v>750</v>
      </c>
      <c r="W10" s="4">
        <v>750</v>
      </c>
      <c r="X10" s="4">
        <v>750</v>
      </c>
      <c r="Y10" s="4">
        <v>750</v>
      </c>
      <c r="Z10" s="4">
        <v>750</v>
      </c>
      <c r="AA10" s="4">
        <v>750</v>
      </c>
      <c r="AB10" s="4">
        <v>750</v>
      </c>
      <c r="AC10" s="4">
        <f t="shared" si="720"/>
        <v>9000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f t="shared" si="721"/>
        <v>0</v>
      </c>
      <c r="AQ10" s="4">
        <f t="shared" si="722"/>
        <v>268320</v>
      </c>
      <c r="AR10" s="4">
        <v>120930</v>
      </c>
      <c r="AS10" s="4">
        <v>120930</v>
      </c>
      <c r="AT10" s="4">
        <v>120930</v>
      </c>
      <c r="AU10" s="4">
        <v>120930</v>
      </c>
      <c r="AV10" s="4">
        <v>120930</v>
      </c>
      <c r="AW10" s="4">
        <v>120930</v>
      </c>
      <c r="AX10" s="37">
        <f>36180+126960</f>
        <v>163140</v>
      </c>
      <c r="AY10" s="4">
        <v>126960</v>
      </c>
      <c r="AZ10" s="4">
        <v>126960</v>
      </c>
      <c r="BA10" s="4">
        <v>126960</v>
      </c>
      <c r="BB10" s="4">
        <v>126960</v>
      </c>
      <c r="BC10" s="4">
        <v>126960</v>
      </c>
      <c r="BD10" s="4">
        <f t="shared" si="723"/>
        <v>1523520</v>
      </c>
      <c r="BE10" s="4">
        <v>3750</v>
      </c>
      <c r="BF10" s="4">
        <v>3750</v>
      </c>
      <c r="BG10" s="4">
        <v>3750</v>
      </c>
      <c r="BH10" s="4">
        <v>3750</v>
      </c>
      <c r="BI10" s="4">
        <v>3750</v>
      </c>
      <c r="BJ10" s="4">
        <v>3750</v>
      </c>
      <c r="BK10" s="4">
        <v>3750</v>
      </c>
      <c r="BL10" s="4">
        <v>3750</v>
      </c>
      <c r="BM10" s="4">
        <v>3750</v>
      </c>
      <c r="BN10" s="4">
        <v>3750</v>
      </c>
      <c r="BO10" s="4">
        <v>3750</v>
      </c>
      <c r="BP10" s="4">
        <v>3750</v>
      </c>
      <c r="BQ10" s="4">
        <f t="shared" si="724"/>
        <v>45000</v>
      </c>
      <c r="BR10" s="4">
        <v>2912</v>
      </c>
      <c r="BS10" s="4">
        <v>2912</v>
      </c>
      <c r="BT10" s="4">
        <v>2912</v>
      </c>
      <c r="BU10" s="4">
        <v>2912</v>
      </c>
      <c r="BV10" s="4">
        <v>2912</v>
      </c>
      <c r="BW10" s="4">
        <v>2912</v>
      </c>
      <c r="BX10" s="37">
        <f>864+3057</f>
        <v>3921</v>
      </c>
      <c r="BY10" s="4">
        <v>3057</v>
      </c>
      <c r="BZ10" s="4">
        <v>3057</v>
      </c>
      <c r="CA10" s="4">
        <v>3057</v>
      </c>
      <c r="CB10" s="4">
        <v>3057</v>
      </c>
      <c r="CC10" s="4">
        <v>3057</v>
      </c>
      <c r="CD10" s="4">
        <f t="shared" si="725"/>
        <v>36678</v>
      </c>
      <c r="CE10" s="4">
        <f t="shared" si="726"/>
        <v>1605198</v>
      </c>
      <c r="CF10" s="4">
        <v>113440</v>
      </c>
      <c r="CG10" s="4">
        <v>113440</v>
      </c>
      <c r="CH10" s="4">
        <v>113440</v>
      </c>
      <c r="CI10" s="4">
        <v>113440</v>
      </c>
      <c r="CJ10" s="4">
        <v>113440</v>
      </c>
      <c r="CK10" s="4">
        <v>113440</v>
      </c>
      <c r="CL10" s="37">
        <f>32340+118830</f>
        <v>151170</v>
      </c>
      <c r="CM10" s="4">
        <v>118830</v>
      </c>
      <c r="CN10" s="4">
        <v>118830</v>
      </c>
      <c r="CO10" s="4">
        <v>118830</v>
      </c>
      <c r="CP10" s="4">
        <v>118830</v>
      </c>
      <c r="CQ10" s="4">
        <v>118830</v>
      </c>
      <c r="CR10" s="4">
        <f t="shared" si="727"/>
        <v>1425960</v>
      </c>
      <c r="CS10" s="4">
        <v>3750</v>
      </c>
      <c r="CT10" s="4">
        <v>3750</v>
      </c>
      <c r="CU10" s="4">
        <v>3750</v>
      </c>
      <c r="CV10" s="4">
        <v>3750</v>
      </c>
      <c r="CW10" s="4">
        <v>3750</v>
      </c>
      <c r="CX10" s="4">
        <v>3750</v>
      </c>
      <c r="CY10" s="4">
        <v>3750</v>
      </c>
      <c r="CZ10" s="4">
        <v>3750</v>
      </c>
      <c r="DA10" s="4">
        <v>3750</v>
      </c>
      <c r="DB10" s="4">
        <v>3750</v>
      </c>
      <c r="DC10" s="4">
        <v>3750</v>
      </c>
      <c r="DD10" s="4">
        <v>3750</v>
      </c>
      <c r="DE10" s="4">
        <f t="shared" si="728"/>
        <v>45000</v>
      </c>
      <c r="DF10" s="4">
        <v>2144</v>
      </c>
      <c r="DG10" s="4">
        <v>2144</v>
      </c>
      <c r="DH10" s="4">
        <v>2144</v>
      </c>
      <c r="DI10" s="4">
        <v>2144</v>
      </c>
      <c r="DJ10" s="4">
        <v>2144</v>
      </c>
      <c r="DK10" s="4">
        <v>2144</v>
      </c>
      <c r="DL10" s="37">
        <f>594+2243</f>
        <v>2837</v>
      </c>
      <c r="DM10" s="4">
        <v>2243</v>
      </c>
      <c r="DN10" s="4">
        <v>2243</v>
      </c>
      <c r="DO10" s="4">
        <v>2243</v>
      </c>
      <c r="DP10" s="4">
        <v>3565</v>
      </c>
      <c r="DQ10" s="4">
        <v>3565</v>
      </c>
      <c r="DR10" s="4">
        <f t="shared" si="729"/>
        <v>29560</v>
      </c>
      <c r="DS10" s="4">
        <f t="shared" si="730"/>
        <v>1500520</v>
      </c>
      <c r="DT10" s="4">
        <v>91190</v>
      </c>
      <c r="DU10" s="4">
        <v>91190</v>
      </c>
      <c r="DV10" s="4">
        <v>91190</v>
      </c>
      <c r="DW10" s="4">
        <v>91190</v>
      </c>
      <c r="DX10" s="4">
        <v>91190</v>
      </c>
      <c r="DY10" s="4">
        <v>91190</v>
      </c>
      <c r="DZ10" s="37">
        <f>20580+94620</f>
        <v>115200</v>
      </c>
      <c r="EA10" s="4">
        <v>94620</v>
      </c>
      <c r="EB10" s="4">
        <v>71870</v>
      </c>
      <c r="EC10" s="4">
        <v>71870</v>
      </c>
      <c r="ED10" s="4">
        <v>71870</v>
      </c>
      <c r="EE10" s="4">
        <v>71870</v>
      </c>
      <c r="EF10" s="4">
        <f t="shared" si="731"/>
        <v>1044440</v>
      </c>
      <c r="EG10" s="4">
        <v>3000</v>
      </c>
      <c r="EH10" s="4">
        <v>3000</v>
      </c>
      <c r="EI10" s="4">
        <v>3000</v>
      </c>
      <c r="EJ10" s="4">
        <v>3000</v>
      </c>
      <c r="EK10" s="4">
        <v>3000</v>
      </c>
      <c r="EL10" s="4">
        <v>3000</v>
      </c>
      <c r="EM10" s="4">
        <v>3000</v>
      </c>
      <c r="EN10" s="4">
        <v>3000</v>
      </c>
      <c r="EO10" s="4">
        <v>2250</v>
      </c>
      <c r="EP10" s="4">
        <v>2250</v>
      </c>
      <c r="EQ10" s="4">
        <v>2250</v>
      </c>
      <c r="ER10" s="4">
        <v>2250</v>
      </c>
      <c r="ES10" s="4">
        <f t="shared" si="732"/>
        <v>33000</v>
      </c>
      <c r="ET10" s="4">
        <v>2735</v>
      </c>
      <c r="EU10" s="4">
        <v>2735</v>
      </c>
      <c r="EV10" s="4">
        <v>2735</v>
      </c>
      <c r="EW10" s="4">
        <v>2735</v>
      </c>
      <c r="EX10" s="4">
        <v>2735</v>
      </c>
      <c r="EY10" s="4">
        <v>2735</v>
      </c>
      <c r="EZ10" s="37">
        <f>618+2838</f>
        <v>3456</v>
      </c>
      <c r="FA10" s="4">
        <v>2838</v>
      </c>
      <c r="FB10" s="4">
        <v>1400</v>
      </c>
      <c r="FC10" s="4">
        <v>1400</v>
      </c>
      <c r="FD10" s="4">
        <v>1400</v>
      </c>
      <c r="FE10" s="4">
        <v>1400</v>
      </c>
      <c r="FF10" s="4">
        <f t="shared" si="733"/>
        <v>28304</v>
      </c>
      <c r="FG10" s="4">
        <f t="shared" si="734"/>
        <v>1105744</v>
      </c>
      <c r="FH10" s="4">
        <v>461870</v>
      </c>
      <c r="FI10" s="4">
        <v>441680</v>
      </c>
      <c r="FJ10" s="4">
        <f>9100+464430</f>
        <v>473530</v>
      </c>
      <c r="FK10" s="4">
        <v>464430</v>
      </c>
      <c r="FL10" s="4">
        <v>464430</v>
      </c>
      <c r="FM10" s="4">
        <v>464430</v>
      </c>
      <c r="FN10" s="37">
        <f>133490+486510</f>
        <v>620000</v>
      </c>
      <c r="FO10" s="4">
        <f>9100+506010</f>
        <v>515110</v>
      </c>
      <c r="FP10" s="4">
        <f>25450+480560</f>
        <v>506010</v>
      </c>
      <c r="FQ10" s="4">
        <v>506010</v>
      </c>
      <c r="FR10" s="4">
        <v>506010</v>
      </c>
      <c r="FS10" s="4">
        <v>506010</v>
      </c>
      <c r="FT10" s="4">
        <f t="shared" si="735"/>
        <v>5929520</v>
      </c>
      <c r="FU10" s="4">
        <v>15000</v>
      </c>
      <c r="FV10" s="4">
        <v>14250</v>
      </c>
      <c r="FW10" s="4">
        <f>455+15000</f>
        <v>15455</v>
      </c>
      <c r="FX10" s="4">
        <v>15000</v>
      </c>
      <c r="FY10" s="4">
        <v>15000</v>
      </c>
      <c r="FZ10" s="4">
        <v>15000</v>
      </c>
      <c r="GA10" s="4">
        <v>15000</v>
      </c>
      <c r="GB10" s="4">
        <f>350+15750</f>
        <v>16100</v>
      </c>
      <c r="GC10" s="4">
        <f>750+15000</f>
        <v>15750</v>
      </c>
      <c r="GD10" s="4">
        <v>15750</v>
      </c>
      <c r="GE10" s="4">
        <v>15750</v>
      </c>
      <c r="GF10" s="4">
        <v>15750</v>
      </c>
      <c r="GG10" s="4">
        <f t="shared" si="736"/>
        <v>183805</v>
      </c>
      <c r="GH10" s="4">
        <v>10504</v>
      </c>
      <c r="GI10" s="4">
        <v>9898</v>
      </c>
      <c r="GJ10" s="4">
        <v>9898</v>
      </c>
      <c r="GK10" s="4">
        <v>9898</v>
      </c>
      <c r="GL10" s="4">
        <v>9898</v>
      </c>
      <c r="GM10" s="4">
        <v>9898</v>
      </c>
      <c r="GN10" s="37">
        <f>2976+10392</f>
        <v>13368</v>
      </c>
      <c r="GO10" s="4">
        <v>10392</v>
      </c>
      <c r="GP10" s="4">
        <v>10392</v>
      </c>
      <c r="GQ10" s="4">
        <v>10392</v>
      </c>
      <c r="GR10" s="4">
        <v>12379</v>
      </c>
      <c r="GS10" s="4">
        <v>12379</v>
      </c>
      <c r="GT10" s="4">
        <f t="shared" si="737"/>
        <v>129296</v>
      </c>
      <c r="GU10" s="4">
        <f t="shared" si="738"/>
        <v>6242621</v>
      </c>
      <c r="GV10" s="4">
        <v>330010</v>
      </c>
      <c r="GW10" s="4">
        <v>330010</v>
      </c>
      <c r="GX10" s="4">
        <v>330010</v>
      </c>
      <c r="GY10" s="4">
        <v>330010</v>
      </c>
      <c r="GZ10" s="4">
        <v>330010</v>
      </c>
      <c r="HA10" s="4">
        <v>330010</v>
      </c>
      <c r="HB10" s="37">
        <f>93480+345590</f>
        <v>439070</v>
      </c>
      <c r="HC10" s="4">
        <v>345590</v>
      </c>
      <c r="HD10" s="4">
        <v>345590</v>
      </c>
      <c r="HE10" s="4">
        <v>345590</v>
      </c>
      <c r="HF10" s="4">
        <v>332609.34999999998</v>
      </c>
      <c r="HG10" s="4">
        <v>320440</v>
      </c>
      <c r="HH10" s="4">
        <f t="shared" si="739"/>
        <v>4108949.35</v>
      </c>
      <c r="HI10" s="4">
        <v>10500</v>
      </c>
      <c r="HJ10" s="4">
        <v>10500</v>
      </c>
      <c r="HK10" s="4">
        <v>10500</v>
      </c>
      <c r="HL10" s="4">
        <v>10500</v>
      </c>
      <c r="HM10" s="4">
        <v>10500</v>
      </c>
      <c r="HN10" s="4">
        <v>10500</v>
      </c>
      <c r="HO10" s="4">
        <v>10500</v>
      </c>
      <c r="HP10" s="4">
        <v>10500</v>
      </c>
      <c r="HQ10" s="4">
        <v>10500</v>
      </c>
      <c r="HR10" s="4">
        <v>10500</v>
      </c>
      <c r="HS10" s="4">
        <v>10350</v>
      </c>
      <c r="HT10" s="4">
        <v>9750</v>
      </c>
      <c r="HU10" s="4">
        <f t="shared" si="740"/>
        <v>125100</v>
      </c>
      <c r="HV10" s="4">
        <v>8591</v>
      </c>
      <c r="HW10" s="4">
        <v>8591</v>
      </c>
      <c r="HX10" s="4">
        <v>8591</v>
      </c>
      <c r="HY10" s="4">
        <v>8591</v>
      </c>
      <c r="HZ10" s="4">
        <v>8591</v>
      </c>
      <c r="IA10" s="4">
        <v>8591</v>
      </c>
      <c r="IB10" s="37">
        <f>2592+9022</f>
        <v>11614</v>
      </c>
      <c r="IC10" s="4">
        <v>9607</v>
      </c>
      <c r="ID10" s="4">
        <v>9607</v>
      </c>
      <c r="IE10" s="4">
        <v>8852</v>
      </c>
      <c r="IF10" s="4">
        <v>8852</v>
      </c>
      <c r="IG10" s="4">
        <v>8852</v>
      </c>
      <c r="IH10" s="4">
        <f t="shared" si="741"/>
        <v>108930</v>
      </c>
      <c r="II10" s="4">
        <f t="shared" si="742"/>
        <v>4342979.3499999996</v>
      </c>
      <c r="IJ10" s="4">
        <f>249860+19500</f>
        <v>269360</v>
      </c>
      <c r="IK10" s="4">
        <v>269360</v>
      </c>
      <c r="IL10" s="4">
        <v>269360</v>
      </c>
      <c r="IM10" s="4">
        <v>269360</v>
      </c>
      <c r="IN10" s="4">
        <v>269360</v>
      </c>
      <c r="IO10" s="4">
        <v>269360</v>
      </c>
      <c r="IP10" s="37">
        <f>73980+281690</f>
        <v>355670</v>
      </c>
      <c r="IQ10" s="4">
        <v>281690</v>
      </c>
      <c r="IR10" s="4">
        <v>260372.67</v>
      </c>
      <c r="IS10" s="4">
        <f>20475+281600</f>
        <v>302075</v>
      </c>
      <c r="IT10" s="4">
        <v>281600</v>
      </c>
      <c r="IU10" s="4">
        <v>281600</v>
      </c>
      <c r="IV10" s="4">
        <f t="shared" si="743"/>
        <v>3379167.67</v>
      </c>
      <c r="IW10" s="4">
        <f>8250+750</f>
        <v>9000</v>
      </c>
      <c r="IX10" s="4">
        <v>9000</v>
      </c>
      <c r="IY10" s="4">
        <v>9000</v>
      </c>
      <c r="IZ10" s="4">
        <v>9000</v>
      </c>
      <c r="JA10" s="4">
        <v>9000</v>
      </c>
      <c r="JB10" s="4">
        <v>9000</v>
      </c>
      <c r="JC10" s="4">
        <v>9000</v>
      </c>
      <c r="JD10" s="4">
        <v>9000</v>
      </c>
      <c r="JE10" s="4">
        <v>8333</v>
      </c>
      <c r="JF10" s="4">
        <f>667+9000</f>
        <v>9667</v>
      </c>
      <c r="JG10" s="4">
        <v>9000</v>
      </c>
      <c r="JH10" s="4">
        <v>9000</v>
      </c>
      <c r="JI10" s="4">
        <f t="shared" si="744"/>
        <v>108000</v>
      </c>
      <c r="JJ10" s="4">
        <v>5043</v>
      </c>
      <c r="JK10" s="4">
        <v>5043</v>
      </c>
      <c r="JL10" s="4">
        <v>5043</v>
      </c>
      <c r="JM10" s="4">
        <v>5043</v>
      </c>
      <c r="JN10" s="4">
        <v>5043</v>
      </c>
      <c r="JO10" s="4">
        <v>5043</v>
      </c>
      <c r="JP10" s="37">
        <f>1518+5294</f>
        <v>6812</v>
      </c>
      <c r="JQ10" s="4">
        <v>5294</v>
      </c>
      <c r="JR10" s="4">
        <v>5294</v>
      </c>
      <c r="JS10" s="4">
        <v>5294</v>
      </c>
      <c r="JT10" s="4">
        <v>5294</v>
      </c>
      <c r="JU10" s="4">
        <v>5294</v>
      </c>
      <c r="JV10" s="4">
        <f t="shared" si="745"/>
        <v>63540</v>
      </c>
      <c r="JW10" s="4">
        <f t="shared" si="746"/>
        <v>3550707.67</v>
      </c>
      <c r="JX10" s="4">
        <v>43980</v>
      </c>
      <c r="JY10" s="4">
        <v>43980</v>
      </c>
      <c r="JZ10" s="4">
        <v>43980</v>
      </c>
      <c r="KA10" s="4">
        <v>43980</v>
      </c>
      <c r="KB10" s="4">
        <v>43980</v>
      </c>
      <c r="KC10" s="4">
        <v>43980</v>
      </c>
      <c r="KD10" s="37">
        <f>13140+46170</f>
        <v>59310</v>
      </c>
      <c r="KE10" s="4">
        <v>46170</v>
      </c>
      <c r="KF10" s="4">
        <v>46170</v>
      </c>
      <c r="KG10" s="4">
        <v>46170</v>
      </c>
      <c r="KH10" s="4">
        <v>46170</v>
      </c>
      <c r="KI10" s="4">
        <v>46170</v>
      </c>
      <c r="KJ10" s="4">
        <f t="shared" si="747"/>
        <v>554040</v>
      </c>
      <c r="KK10" s="4">
        <v>1500</v>
      </c>
      <c r="KL10" s="4">
        <v>1500</v>
      </c>
      <c r="KM10" s="4">
        <v>1500</v>
      </c>
      <c r="KN10" s="4">
        <v>1500</v>
      </c>
      <c r="KO10" s="4">
        <v>1500</v>
      </c>
      <c r="KP10" s="4">
        <v>1500</v>
      </c>
      <c r="KQ10" s="4">
        <v>1500</v>
      </c>
      <c r="KR10" s="4">
        <v>1500</v>
      </c>
      <c r="KS10" s="4">
        <v>1500</v>
      </c>
      <c r="KT10" s="4">
        <v>1500</v>
      </c>
      <c r="KU10" s="4">
        <v>1500</v>
      </c>
      <c r="KV10" s="4">
        <v>1500</v>
      </c>
      <c r="KW10" s="4">
        <f t="shared" si="748"/>
        <v>18000</v>
      </c>
      <c r="KX10" s="4">
        <v>734</v>
      </c>
      <c r="KY10" s="4">
        <v>734</v>
      </c>
      <c r="KZ10" s="4">
        <v>734</v>
      </c>
      <c r="LA10" s="4">
        <v>734</v>
      </c>
      <c r="LB10" s="4">
        <v>734</v>
      </c>
      <c r="LC10" s="4">
        <v>734</v>
      </c>
      <c r="LD10" s="37">
        <f>222+771</f>
        <v>993</v>
      </c>
      <c r="LE10" s="4">
        <v>771</v>
      </c>
      <c r="LF10" s="4">
        <v>771</v>
      </c>
      <c r="LG10" s="4">
        <v>771</v>
      </c>
      <c r="LH10" s="4">
        <v>771</v>
      </c>
      <c r="LI10" s="4">
        <v>771</v>
      </c>
      <c r="LJ10" s="4">
        <f t="shared" si="749"/>
        <v>9252</v>
      </c>
      <c r="LK10" s="4">
        <f t="shared" si="750"/>
        <v>581292</v>
      </c>
      <c r="LL10" s="4">
        <v>117840</v>
      </c>
      <c r="LM10" s="4">
        <v>117840</v>
      </c>
      <c r="LN10" s="4">
        <v>117840</v>
      </c>
      <c r="LO10" s="4">
        <v>107538.71</v>
      </c>
      <c r="LP10" s="4">
        <v>117840</v>
      </c>
      <c r="LQ10" s="4">
        <v>117840</v>
      </c>
      <c r="LR10" s="37">
        <f>33850.64+123760</f>
        <v>157610.64000000001</v>
      </c>
      <c r="LS10" s="4">
        <v>123760</v>
      </c>
      <c r="LT10" s="4">
        <v>123760</v>
      </c>
      <c r="LU10" s="4">
        <v>123760</v>
      </c>
      <c r="LV10" s="4">
        <v>123760</v>
      </c>
      <c r="LW10" s="4">
        <v>123760</v>
      </c>
      <c r="LX10" s="4">
        <f t="shared" si="751"/>
        <v>1473149.35</v>
      </c>
      <c r="LY10" s="4">
        <v>3750</v>
      </c>
      <c r="LZ10" s="4">
        <v>3750</v>
      </c>
      <c r="MA10" s="4">
        <v>3750</v>
      </c>
      <c r="MB10" s="4">
        <v>3625</v>
      </c>
      <c r="MC10" s="4">
        <v>3750</v>
      </c>
      <c r="MD10" s="4">
        <v>3750</v>
      </c>
      <c r="ME10" s="37">
        <f>32+3750</f>
        <v>3782</v>
      </c>
      <c r="MF10" s="4">
        <v>3750</v>
      </c>
      <c r="MG10" s="4">
        <v>3750</v>
      </c>
      <c r="MH10" s="4">
        <v>3750</v>
      </c>
      <c r="MI10" s="4">
        <v>3750</v>
      </c>
      <c r="MJ10" s="4">
        <v>3750</v>
      </c>
      <c r="MK10" s="4">
        <f t="shared" si="752"/>
        <v>44907</v>
      </c>
      <c r="ML10" s="4">
        <v>3534</v>
      </c>
      <c r="MM10" s="4">
        <v>3534</v>
      </c>
      <c r="MN10" s="4">
        <v>3534</v>
      </c>
      <c r="MO10" s="4">
        <v>3225</v>
      </c>
      <c r="MP10" s="4">
        <v>3534</v>
      </c>
      <c r="MQ10" s="4">
        <v>3534</v>
      </c>
      <c r="MR10" s="37">
        <f>1017+3712</f>
        <v>4729</v>
      </c>
      <c r="MS10" s="4">
        <v>3712</v>
      </c>
      <c r="MT10" s="4">
        <v>3712</v>
      </c>
      <c r="MU10" s="4">
        <v>3712</v>
      </c>
      <c r="MV10" s="4">
        <v>3712</v>
      </c>
      <c r="MW10" s="4">
        <v>3712</v>
      </c>
      <c r="MX10" s="4">
        <f t="shared" si="753"/>
        <v>44184</v>
      </c>
      <c r="MY10" s="4">
        <f t="shared" si="754"/>
        <v>1562240.35</v>
      </c>
      <c r="MZ10" s="4">
        <v>261490</v>
      </c>
      <c r="NA10" s="4">
        <v>261490</v>
      </c>
      <c r="NB10" s="4">
        <f>19500+280990</f>
        <v>300490</v>
      </c>
      <c r="NC10" s="4">
        <v>280990</v>
      </c>
      <c r="ND10" s="4">
        <v>280990</v>
      </c>
      <c r="NE10" s="4">
        <v>280990</v>
      </c>
      <c r="NF10" s="37">
        <f>76080+293670</f>
        <v>369750</v>
      </c>
      <c r="NG10" s="4">
        <v>293670</v>
      </c>
      <c r="NH10" s="4">
        <v>293670</v>
      </c>
      <c r="NI10" s="4">
        <v>293670</v>
      </c>
      <c r="NJ10" s="4">
        <v>293670</v>
      </c>
      <c r="NK10" s="4">
        <v>293670</v>
      </c>
      <c r="NL10" s="4">
        <f t="shared" si="755"/>
        <v>3504540</v>
      </c>
      <c r="NM10" s="4">
        <v>8250</v>
      </c>
      <c r="NN10" s="4">
        <v>8250</v>
      </c>
      <c r="NO10" s="4">
        <f>750+9000</f>
        <v>9750</v>
      </c>
      <c r="NP10" s="4">
        <v>9000</v>
      </c>
      <c r="NQ10" s="4">
        <v>9000</v>
      </c>
      <c r="NR10" s="4">
        <v>9000</v>
      </c>
      <c r="NS10" s="4">
        <v>9000</v>
      </c>
      <c r="NT10" s="4">
        <v>9000</v>
      </c>
      <c r="NU10" s="4">
        <v>9000</v>
      </c>
      <c r="NV10" s="4">
        <v>9000</v>
      </c>
      <c r="NW10" s="4">
        <v>9000</v>
      </c>
      <c r="NX10" s="4">
        <v>9000</v>
      </c>
      <c r="NY10" s="4">
        <f t="shared" si="756"/>
        <v>107250</v>
      </c>
      <c r="NZ10" s="4">
        <v>2910</v>
      </c>
      <c r="OA10" s="4">
        <v>2910</v>
      </c>
      <c r="OB10" s="4">
        <v>2910</v>
      </c>
      <c r="OC10" s="4">
        <v>2910</v>
      </c>
      <c r="OD10" s="4">
        <v>2910</v>
      </c>
      <c r="OE10" s="4">
        <v>2910</v>
      </c>
      <c r="OF10" s="37">
        <f>834+3049</f>
        <v>3883</v>
      </c>
      <c r="OG10" s="4">
        <v>3049</v>
      </c>
      <c r="OH10" s="4">
        <v>3049</v>
      </c>
      <c r="OI10" s="4">
        <v>3049</v>
      </c>
      <c r="OJ10" s="4">
        <v>3049</v>
      </c>
      <c r="OK10" s="4">
        <v>3049</v>
      </c>
      <c r="OL10" s="4">
        <f t="shared" si="757"/>
        <v>36588</v>
      </c>
      <c r="OM10" s="4">
        <f t="shared" si="758"/>
        <v>3648378</v>
      </c>
      <c r="ON10" s="4">
        <v>142740</v>
      </c>
      <c r="OO10" s="4">
        <v>142740</v>
      </c>
      <c r="OP10" s="4">
        <v>142740</v>
      </c>
      <c r="OQ10" s="4">
        <v>142740</v>
      </c>
      <c r="OR10" s="4">
        <v>142740</v>
      </c>
      <c r="OS10" s="4">
        <f>162240+19500</f>
        <v>181740</v>
      </c>
      <c r="OT10" s="37">
        <f>43020+169410</f>
        <v>212430</v>
      </c>
      <c r="OU10" s="4">
        <v>169410</v>
      </c>
      <c r="OV10" s="4">
        <v>169410</v>
      </c>
      <c r="OW10" s="4">
        <v>169410</v>
      </c>
      <c r="OX10" s="4">
        <v>169410</v>
      </c>
      <c r="OY10" s="4">
        <v>169410</v>
      </c>
      <c r="OZ10" s="4">
        <f t="shared" si="759"/>
        <v>1954920</v>
      </c>
      <c r="PA10" s="4">
        <v>4500</v>
      </c>
      <c r="PB10" s="4">
        <v>4500</v>
      </c>
      <c r="PC10" s="4">
        <v>4500</v>
      </c>
      <c r="PD10" s="4">
        <v>4500</v>
      </c>
      <c r="PE10" s="4">
        <v>4500</v>
      </c>
      <c r="PF10" s="4">
        <f>5250+750</f>
        <v>6000</v>
      </c>
      <c r="PG10" s="4">
        <v>5250</v>
      </c>
      <c r="PH10" s="4">
        <v>5250</v>
      </c>
      <c r="PI10" s="4">
        <v>5250</v>
      </c>
      <c r="PJ10" s="4">
        <v>5250</v>
      </c>
      <c r="PK10" s="4">
        <v>5250</v>
      </c>
      <c r="PL10" s="4">
        <v>5250</v>
      </c>
      <c r="PM10" s="4">
        <f t="shared" si="760"/>
        <v>60000</v>
      </c>
      <c r="PN10" s="4">
        <v>2843</v>
      </c>
      <c r="PO10" s="4">
        <v>2843</v>
      </c>
      <c r="PP10" s="4">
        <v>2843</v>
      </c>
      <c r="PQ10" s="4">
        <v>2843</v>
      </c>
      <c r="PR10" s="4">
        <v>2843</v>
      </c>
      <c r="PS10" s="4">
        <v>2843</v>
      </c>
      <c r="PT10" s="37">
        <f>858+2985</f>
        <v>3843</v>
      </c>
      <c r="PU10" s="4">
        <v>2985</v>
      </c>
      <c r="PV10" s="4">
        <v>2985</v>
      </c>
      <c r="PW10" s="4">
        <v>2985</v>
      </c>
      <c r="PX10" s="4">
        <v>2985</v>
      </c>
      <c r="PY10" s="4">
        <v>3570</v>
      </c>
      <c r="PZ10" s="4">
        <f t="shared" si="761"/>
        <v>36411</v>
      </c>
      <c r="QA10" s="4">
        <f t="shared" si="762"/>
        <v>2051331</v>
      </c>
      <c r="QB10" s="4">
        <v>332550</v>
      </c>
      <c r="QC10" s="4">
        <v>332550</v>
      </c>
      <c r="QD10" s="4">
        <v>332550</v>
      </c>
      <c r="QE10" s="4">
        <v>332550</v>
      </c>
      <c r="QF10" s="4">
        <v>332550</v>
      </c>
      <c r="QG10" s="4">
        <v>332550</v>
      </c>
      <c r="QH10" s="37">
        <f>93300+348100</f>
        <v>441400</v>
      </c>
      <c r="QI10" s="4">
        <v>348100</v>
      </c>
      <c r="QJ10" s="4">
        <v>348100</v>
      </c>
      <c r="QK10" s="4">
        <v>348100</v>
      </c>
      <c r="QL10" s="4">
        <v>348100</v>
      </c>
      <c r="QM10" s="4">
        <v>323270</v>
      </c>
      <c r="QN10" s="4">
        <f t="shared" si="763"/>
        <v>4152370</v>
      </c>
      <c r="QO10" s="4">
        <v>10500</v>
      </c>
      <c r="QP10" s="4">
        <v>10500</v>
      </c>
      <c r="QQ10" s="4">
        <v>10500</v>
      </c>
      <c r="QR10" s="4">
        <v>10500</v>
      </c>
      <c r="QS10" s="4">
        <v>10500</v>
      </c>
      <c r="QT10" s="4">
        <v>10500</v>
      </c>
      <c r="QU10" s="4">
        <v>10500</v>
      </c>
      <c r="QV10" s="4">
        <v>10500</v>
      </c>
      <c r="QW10" s="4">
        <v>10500</v>
      </c>
      <c r="QX10" s="4">
        <v>10500</v>
      </c>
      <c r="QY10" s="4">
        <v>10500</v>
      </c>
      <c r="QZ10" s="4">
        <v>9750</v>
      </c>
      <c r="RA10" s="4">
        <f t="shared" si="764"/>
        <v>125250</v>
      </c>
      <c r="RB10" s="4">
        <v>9262</v>
      </c>
      <c r="RC10" s="4">
        <v>9262</v>
      </c>
      <c r="RD10" s="4">
        <v>9262</v>
      </c>
      <c r="RE10" s="4">
        <v>9262</v>
      </c>
      <c r="RF10" s="4">
        <v>9262</v>
      </c>
      <c r="RG10" s="4">
        <v>9262</v>
      </c>
      <c r="RH10" s="37">
        <f>2622+9698</f>
        <v>12320</v>
      </c>
      <c r="RI10" s="4">
        <v>9698</v>
      </c>
      <c r="RJ10" s="4">
        <v>9698</v>
      </c>
      <c r="RK10" s="4">
        <v>9698</v>
      </c>
      <c r="RL10" s="4">
        <v>9698</v>
      </c>
      <c r="RM10" s="4">
        <v>9698</v>
      </c>
      <c r="RN10" s="4">
        <f t="shared" si="765"/>
        <v>116382</v>
      </c>
      <c r="RO10" s="4">
        <f>+QN10+RA10+RN10</f>
        <v>4394002</v>
      </c>
      <c r="RP10" s="4">
        <v>92820</v>
      </c>
      <c r="RQ10" s="4">
        <v>92820</v>
      </c>
      <c r="RR10" s="4">
        <v>92820</v>
      </c>
      <c r="RS10" s="4">
        <v>92820</v>
      </c>
      <c r="RT10" s="4">
        <v>92820</v>
      </c>
      <c r="RU10" s="4">
        <v>92820</v>
      </c>
      <c r="RV10" s="37">
        <f>27840+97460</f>
        <v>125300</v>
      </c>
      <c r="RW10" s="4">
        <v>97460</v>
      </c>
      <c r="RX10" s="4">
        <v>97460</v>
      </c>
      <c r="RY10" s="4">
        <v>97460</v>
      </c>
      <c r="RZ10" s="4">
        <v>97460</v>
      </c>
      <c r="SA10" s="4">
        <v>97460</v>
      </c>
      <c r="SB10" s="4">
        <f t="shared" si="767"/>
        <v>1169520</v>
      </c>
      <c r="SC10" s="4">
        <v>3000</v>
      </c>
      <c r="SD10" s="4">
        <v>3000</v>
      </c>
      <c r="SE10" s="4">
        <v>3000</v>
      </c>
      <c r="SF10" s="4">
        <v>3000</v>
      </c>
      <c r="SG10" s="4">
        <v>3000</v>
      </c>
      <c r="SH10" s="4">
        <v>3000</v>
      </c>
      <c r="SI10" s="4">
        <v>3000</v>
      </c>
      <c r="SJ10" s="4">
        <v>3000</v>
      </c>
      <c r="SK10" s="4">
        <v>3000</v>
      </c>
      <c r="SL10" s="4">
        <v>3000</v>
      </c>
      <c r="SM10" s="4">
        <v>3000</v>
      </c>
      <c r="SN10" s="4">
        <v>3000</v>
      </c>
      <c r="SO10" s="4">
        <f t="shared" si="768"/>
        <v>36000</v>
      </c>
      <c r="SP10" s="4">
        <v>2172</v>
      </c>
      <c r="SQ10" s="4">
        <v>2172</v>
      </c>
      <c r="SR10" s="4">
        <v>2172</v>
      </c>
      <c r="SS10" s="4">
        <v>2172</v>
      </c>
      <c r="ST10" s="4">
        <v>2172</v>
      </c>
      <c r="SU10" s="4">
        <v>2172</v>
      </c>
      <c r="SV10" s="37">
        <f>654+2282</f>
        <v>2936</v>
      </c>
      <c r="SW10" s="4">
        <v>2282</v>
      </c>
      <c r="SX10" s="4">
        <v>2282</v>
      </c>
      <c r="SY10" s="4">
        <v>2282</v>
      </c>
      <c r="SZ10" s="4">
        <v>2282</v>
      </c>
      <c r="TA10" s="4">
        <v>2282</v>
      </c>
      <c r="TB10" s="4">
        <f t="shared" si="769"/>
        <v>27378</v>
      </c>
      <c r="TC10" s="4">
        <f t="shared" si="770"/>
        <v>1232898</v>
      </c>
      <c r="TD10" s="4">
        <v>351000</v>
      </c>
      <c r="TE10" s="4">
        <v>351000</v>
      </c>
      <c r="TF10" s="4">
        <v>351000</v>
      </c>
      <c r="TG10" s="4">
        <v>351000</v>
      </c>
      <c r="TH10" s="4">
        <v>351000</v>
      </c>
      <c r="TI10" s="4">
        <v>351000</v>
      </c>
      <c r="TJ10" s="37">
        <f>86940+365490</f>
        <v>452430</v>
      </c>
      <c r="TK10" s="4">
        <v>365490</v>
      </c>
      <c r="TL10" s="4">
        <v>365490</v>
      </c>
      <c r="TM10" s="4">
        <v>365490</v>
      </c>
      <c r="TN10" s="4">
        <v>365490</v>
      </c>
      <c r="TO10" s="4">
        <v>365490</v>
      </c>
      <c r="TP10" s="4">
        <f t="shared" si="771"/>
        <v>4385880</v>
      </c>
      <c r="TQ10" s="4">
        <v>11250</v>
      </c>
      <c r="TR10" s="4">
        <v>11250</v>
      </c>
      <c r="TS10" s="4">
        <v>11250</v>
      </c>
      <c r="TT10" s="4">
        <v>11250</v>
      </c>
      <c r="TU10" s="4">
        <v>11250</v>
      </c>
      <c r="TV10" s="4">
        <v>11250</v>
      </c>
      <c r="TW10" s="4">
        <v>11250</v>
      </c>
      <c r="TX10" s="4">
        <v>11250</v>
      </c>
      <c r="TY10" s="4">
        <v>11250</v>
      </c>
      <c r="TZ10" s="4">
        <v>11250</v>
      </c>
      <c r="UA10" s="4">
        <v>11250</v>
      </c>
      <c r="UB10" s="4">
        <v>11250</v>
      </c>
      <c r="UC10" s="4">
        <f t="shared" si="772"/>
        <v>135000</v>
      </c>
      <c r="UD10" s="4">
        <v>7111</v>
      </c>
      <c r="UE10" s="4">
        <v>7111</v>
      </c>
      <c r="UF10" s="4">
        <v>7111</v>
      </c>
      <c r="UG10" s="4">
        <v>7111</v>
      </c>
      <c r="UH10" s="4">
        <v>7111</v>
      </c>
      <c r="UI10" s="4">
        <v>7111</v>
      </c>
      <c r="UJ10" s="37">
        <f>1836+7415</f>
        <v>9251</v>
      </c>
      <c r="UK10" s="4">
        <v>7415</v>
      </c>
      <c r="UL10" s="4">
        <v>7415</v>
      </c>
      <c r="UM10" s="4">
        <v>7415</v>
      </c>
      <c r="UN10" s="4">
        <v>7415</v>
      </c>
      <c r="UO10" s="4">
        <v>7415</v>
      </c>
      <c r="UP10" s="4">
        <f t="shared" si="773"/>
        <v>88992</v>
      </c>
      <c r="UQ10" s="4">
        <f t="shared" si="774"/>
        <v>4609872</v>
      </c>
      <c r="UR10" s="4">
        <v>69030</v>
      </c>
      <c r="US10" s="4">
        <v>69030</v>
      </c>
      <c r="UT10" s="4">
        <v>69030</v>
      </c>
      <c r="UU10" s="4">
        <v>69030</v>
      </c>
      <c r="UV10" s="4">
        <v>69030</v>
      </c>
      <c r="UW10" s="4">
        <v>69030</v>
      </c>
      <c r="UX10" s="37">
        <f>19620+72300</f>
        <v>91920</v>
      </c>
      <c r="UY10" s="4">
        <v>72300</v>
      </c>
      <c r="UZ10" s="4">
        <v>72300</v>
      </c>
      <c r="VA10" s="4">
        <v>72300</v>
      </c>
      <c r="VB10" s="4">
        <v>72300</v>
      </c>
      <c r="VC10" s="4">
        <v>72300</v>
      </c>
      <c r="VD10" s="4">
        <f t="shared" si="775"/>
        <v>867600</v>
      </c>
      <c r="VE10" s="4">
        <v>2250</v>
      </c>
      <c r="VF10" s="4">
        <v>2250</v>
      </c>
      <c r="VG10" s="4">
        <v>2250</v>
      </c>
      <c r="VH10" s="4">
        <v>2250</v>
      </c>
      <c r="VI10" s="4">
        <v>2250</v>
      </c>
      <c r="VJ10" s="4">
        <v>2250</v>
      </c>
      <c r="VK10" s="4">
        <v>2250</v>
      </c>
      <c r="VL10" s="4">
        <v>2250</v>
      </c>
      <c r="VM10" s="4">
        <v>2250</v>
      </c>
      <c r="VN10" s="4">
        <v>2250</v>
      </c>
      <c r="VO10" s="4">
        <v>2250</v>
      </c>
      <c r="VP10" s="4">
        <v>2250</v>
      </c>
      <c r="VQ10" s="4">
        <f t="shared" si="776"/>
        <v>27000</v>
      </c>
      <c r="VR10" s="4">
        <v>2071</v>
      </c>
      <c r="VS10" s="4">
        <v>2071</v>
      </c>
      <c r="VT10" s="4">
        <v>2071</v>
      </c>
      <c r="VU10" s="4">
        <v>2071</v>
      </c>
      <c r="VV10" s="4">
        <v>2071</v>
      </c>
      <c r="VW10" s="4">
        <v>2071</v>
      </c>
      <c r="VX10" s="37">
        <f>588+2169</f>
        <v>2757</v>
      </c>
      <c r="VY10" s="4">
        <v>2169</v>
      </c>
      <c r="VZ10" s="4">
        <v>2169</v>
      </c>
      <c r="WA10" s="4">
        <v>2169</v>
      </c>
      <c r="WB10" s="4">
        <v>2169</v>
      </c>
      <c r="WC10" s="4">
        <v>2169</v>
      </c>
      <c r="WD10" s="4">
        <f t="shared" si="777"/>
        <v>26028</v>
      </c>
      <c r="WE10" s="4">
        <f t="shared" si="778"/>
        <v>920628</v>
      </c>
      <c r="WF10" s="4">
        <v>46590</v>
      </c>
      <c r="WG10" s="4">
        <v>46590</v>
      </c>
      <c r="WH10" s="4">
        <v>46590</v>
      </c>
      <c r="WI10" s="4">
        <v>46590</v>
      </c>
      <c r="WJ10" s="4">
        <v>46590</v>
      </c>
      <c r="WK10" s="4">
        <v>46590</v>
      </c>
      <c r="WL10" s="37">
        <f>13920+48910</f>
        <v>62830</v>
      </c>
      <c r="WM10" s="4">
        <v>48910</v>
      </c>
      <c r="WN10" s="4">
        <v>48910</v>
      </c>
      <c r="WO10" s="4">
        <v>48910</v>
      </c>
      <c r="WP10" s="4">
        <v>48910</v>
      </c>
      <c r="WQ10" s="4">
        <v>48910</v>
      </c>
      <c r="WR10" s="4">
        <f t="shared" si="779"/>
        <v>586920</v>
      </c>
      <c r="WS10" s="4">
        <v>1500</v>
      </c>
      <c r="WT10" s="4">
        <v>1500</v>
      </c>
      <c r="WU10" s="4">
        <v>1500</v>
      </c>
      <c r="WV10" s="4">
        <v>1500</v>
      </c>
      <c r="WW10" s="4">
        <v>1500</v>
      </c>
      <c r="WX10" s="4">
        <v>1500</v>
      </c>
      <c r="WY10" s="4">
        <v>1500</v>
      </c>
      <c r="WZ10" s="4">
        <v>1500</v>
      </c>
      <c r="XA10" s="4">
        <v>1500</v>
      </c>
      <c r="XB10" s="4">
        <v>1500</v>
      </c>
      <c r="XC10" s="4">
        <v>1500</v>
      </c>
      <c r="XD10" s="4">
        <v>1500</v>
      </c>
      <c r="XE10" s="4">
        <f t="shared" si="780"/>
        <v>18000</v>
      </c>
      <c r="XF10" s="4">
        <v>680</v>
      </c>
      <c r="XG10" s="4">
        <v>680</v>
      </c>
      <c r="XH10" s="4">
        <v>680</v>
      </c>
      <c r="XI10" s="4">
        <v>680</v>
      </c>
      <c r="XJ10" s="4">
        <v>680</v>
      </c>
      <c r="XK10" s="4">
        <v>680</v>
      </c>
      <c r="XL10" s="37">
        <f>204+713</f>
        <v>917</v>
      </c>
      <c r="XM10" s="4">
        <v>713</v>
      </c>
      <c r="XN10" s="4">
        <v>713</v>
      </c>
      <c r="XO10" s="4">
        <v>713</v>
      </c>
      <c r="XP10" s="4">
        <v>713</v>
      </c>
      <c r="XQ10" s="4">
        <v>713</v>
      </c>
      <c r="XR10" s="4">
        <f t="shared" si="781"/>
        <v>8562</v>
      </c>
      <c r="XS10" s="4">
        <f t="shared" si="782"/>
        <v>613482</v>
      </c>
      <c r="XT10" s="4">
        <v>71700</v>
      </c>
      <c r="XU10" s="4">
        <v>71700</v>
      </c>
      <c r="XV10" s="4">
        <v>71700</v>
      </c>
      <c r="XW10" s="4">
        <v>71700</v>
      </c>
      <c r="XX10" s="4">
        <v>71700</v>
      </c>
      <c r="XY10" s="4">
        <v>71700</v>
      </c>
      <c r="XZ10" s="37">
        <f>21420+75270</f>
        <v>96690</v>
      </c>
      <c r="YA10" s="4">
        <v>75270</v>
      </c>
      <c r="YB10" s="4">
        <v>75270</v>
      </c>
      <c r="YC10" s="4">
        <v>75270</v>
      </c>
      <c r="YD10" s="4">
        <v>75270</v>
      </c>
      <c r="YE10" s="4">
        <v>75270</v>
      </c>
      <c r="YF10" s="4">
        <f t="shared" si="783"/>
        <v>903240</v>
      </c>
      <c r="YG10" s="4">
        <v>2250</v>
      </c>
      <c r="YH10" s="4">
        <v>2250</v>
      </c>
      <c r="YI10" s="4">
        <v>2250</v>
      </c>
      <c r="YJ10" s="4">
        <v>2250</v>
      </c>
      <c r="YK10" s="4">
        <v>2250</v>
      </c>
      <c r="YL10" s="4">
        <v>2250</v>
      </c>
      <c r="YM10" s="4">
        <v>2250</v>
      </c>
      <c r="YN10" s="4">
        <v>2250</v>
      </c>
      <c r="YO10" s="4">
        <v>2250</v>
      </c>
      <c r="YP10" s="4">
        <v>2250</v>
      </c>
      <c r="YQ10" s="4">
        <v>2250</v>
      </c>
      <c r="YR10" s="4">
        <v>2250</v>
      </c>
      <c r="YS10" s="4">
        <f t="shared" si="784"/>
        <v>27000</v>
      </c>
      <c r="YT10" s="4">
        <v>2151</v>
      </c>
      <c r="YU10" s="4">
        <v>2151</v>
      </c>
      <c r="YV10" s="4">
        <v>2151</v>
      </c>
      <c r="YW10" s="4">
        <v>2151</v>
      </c>
      <c r="YX10" s="4">
        <v>2151</v>
      </c>
      <c r="YY10" s="4">
        <v>2151</v>
      </c>
      <c r="YZ10" s="37">
        <f>642+2258</f>
        <v>2900</v>
      </c>
      <c r="ZA10" s="4">
        <v>2258</v>
      </c>
      <c r="ZB10" s="4">
        <v>2258</v>
      </c>
      <c r="ZC10" s="4">
        <v>2258</v>
      </c>
      <c r="ZD10" s="4">
        <v>2258</v>
      </c>
      <c r="ZE10" s="4">
        <v>2258</v>
      </c>
      <c r="ZF10" s="4">
        <f t="shared" si="785"/>
        <v>27096</v>
      </c>
      <c r="ZG10" s="4">
        <f t="shared" si="786"/>
        <v>957336</v>
      </c>
      <c r="ZH10" s="4">
        <v>51824.52</v>
      </c>
      <c r="ZI10" s="4">
        <v>44640</v>
      </c>
      <c r="ZJ10" s="4">
        <v>44640</v>
      </c>
      <c r="ZK10" s="4">
        <v>44640</v>
      </c>
      <c r="ZL10" s="4">
        <v>44640</v>
      </c>
      <c r="ZM10" s="4">
        <v>22290</v>
      </c>
      <c r="ZN10" s="37">
        <f>10910+22750+46000</f>
        <v>79660</v>
      </c>
      <c r="ZO10" s="4">
        <v>46000</v>
      </c>
      <c r="ZP10" s="4">
        <v>46000</v>
      </c>
      <c r="ZQ10" s="4">
        <v>46000</v>
      </c>
      <c r="ZR10" s="4">
        <v>46000</v>
      </c>
      <c r="ZS10" s="4">
        <v>46000</v>
      </c>
      <c r="ZT10" s="4">
        <f t="shared" si="787"/>
        <v>562334.52</v>
      </c>
      <c r="ZU10" s="4">
        <v>1859</v>
      </c>
      <c r="ZV10" s="4">
        <v>1500</v>
      </c>
      <c r="ZW10" s="4">
        <v>1500</v>
      </c>
      <c r="ZX10" s="4">
        <v>1500</v>
      </c>
      <c r="ZY10" s="4">
        <v>1500</v>
      </c>
      <c r="ZZ10" s="4">
        <v>750</v>
      </c>
      <c r="AAA10" s="4">
        <f>750+1500</f>
        <v>2250</v>
      </c>
      <c r="AAB10" s="4">
        <v>1500</v>
      </c>
      <c r="AAC10" s="4">
        <v>1500</v>
      </c>
      <c r="AAD10" s="4">
        <v>1500</v>
      </c>
      <c r="AAE10" s="4">
        <v>1500</v>
      </c>
      <c r="AAF10" s="4">
        <v>1500</v>
      </c>
      <c r="AAG10" s="4">
        <f t="shared" si="788"/>
        <v>18359</v>
      </c>
      <c r="AAH10" s="4">
        <v>1556</v>
      </c>
      <c r="AAI10" s="4">
        <v>1340</v>
      </c>
      <c r="AAJ10" s="4">
        <v>1340</v>
      </c>
      <c r="AAK10" s="4">
        <v>1340</v>
      </c>
      <c r="AAL10" s="4">
        <v>1340</v>
      </c>
      <c r="AAM10" s="4">
        <v>669</v>
      </c>
      <c r="AAN10" s="37">
        <f>329+1381</f>
        <v>1710</v>
      </c>
      <c r="AAO10" s="4">
        <v>1381</v>
      </c>
      <c r="AAP10" s="4">
        <v>1381</v>
      </c>
      <c r="AAQ10" s="4">
        <v>1381</v>
      </c>
      <c r="AAR10" s="4">
        <v>1381</v>
      </c>
      <c r="AAS10" s="4">
        <v>1381</v>
      </c>
      <c r="AAT10" s="4">
        <f t="shared" si="789"/>
        <v>16200</v>
      </c>
      <c r="AAU10" s="4">
        <f t="shared" si="790"/>
        <v>596893.52</v>
      </c>
      <c r="AAV10" s="4">
        <v>88790</v>
      </c>
      <c r="AAW10" s="4">
        <v>88790</v>
      </c>
      <c r="AAX10" s="4">
        <v>88790</v>
      </c>
      <c r="AAY10" s="4">
        <v>68560</v>
      </c>
      <c r="AAZ10" s="4">
        <v>68560</v>
      </c>
      <c r="ABA10" s="4">
        <v>68560</v>
      </c>
      <c r="ABB10" s="37">
        <f>16710+70880</f>
        <v>87590</v>
      </c>
      <c r="ABC10" s="4">
        <v>70880</v>
      </c>
      <c r="ABD10" s="4">
        <v>70880</v>
      </c>
      <c r="ABE10" s="4">
        <v>70880</v>
      </c>
      <c r="ABF10" s="4">
        <v>70880</v>
      </c>
      <c r="ABG10" s="4">
        <v>70880</v>
      </c>
      <c r="ABH10" s="4">
        <f t="shared" si="791"/>
        <v>914040</v>
      </c>
      <c r="ABI10" s="4">
        <v>3000</v>
      </c>
      <c r="ABJ10" s="4">
        <v>3000</v>
      </c>
      <c r="ABK10" s="4">
        <v>3000</v>
      </c>
      <c r="ABL10" s="4">
        <v>2250</v>
      </c>
      <c r="ABM10" s="4">
        <v>2250</v>
      </c>
      <c r="ABN10" s="4">
        <v>2250</v>
      </c>
      <c r="ABO10" s="4">
        <v>2250</v>
      </c>
      <c r="ABP10" s="4">
        <v>2250</v>
      </c>
      <c r="ABQ10" s="4">
        <v>2250</v>
      </c>
      <c r="ABR10" s="4">
        <v>2250</v>
      </c>
      <c r="ABS10" s="4">
        <v>2250</v>
      </c>
      <c r="ABT10" s="4">
        <v>2250</v>
      </c>
      <c r="ABU10" s="4">
        <f t="shared" si="792"/>
        <v>29250</v>
      </c>
      <c r="ABV10" s="4">
        <v>2057</v>
      </c>
      <c r="ABW10" s="4">
        <v>2057</v>
      </c>
      <c r="ABX10" s="4">
        <v>2057</v>
      </c>
      <c r="ABY10" s="4">
        <v>2057</v>
      </c>
      <c r="ABZ10" s="4">
        <v>2057</v>
      </c>
      <c r="ACA10" s="4">
        <v>2057</v>
      </c>
      <c r="ACB10" s="37">
        <f>420+2127</f>
        <v>2547</v>
      </c>
      <c r="ACC10" s="4">
        <v>2127</v>
      </c>
      <c r="ACD10" s="4">
        <v>2127</v>
      </c>
      <c r="ACE10" s="4">
        <v>2127</v>
      </c>
      <c r="ACF10" s="4">
        <v>2127</v>
      </c>
      <c r="ACG10" s="4">
        <v>2127</v>
      </c>
      <c r="ACH10" s="4">
        <f t="shared" si="793"/>
        <v>25524</v>
      </c>
      <c r="ACI10" s="4">
        <f t="shared" si="794"/>
        <v>968814</v>
      </c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>
        <f t="shared" si="795"/>
        <v>0</v>
      </c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>
        <f t="shared" si="796"/>
        <v>0</v>
      </c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>
        <f t="shared" si="797"/>
        <v>0</v>
      </c>
      <c r="ADW10" s="4">
        <f t="shared" si="798"/>
        <v>0</v>
      </c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>
        <f t="shared" si="799"/>
        <v>0</v>
      </c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>
        <f t="shared" si="800"/>
        <v>0</v>
      </c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>
        <f t="shared" si="801"/>
        <v>0</v>
      </c>
      <c r="AFK10" s="4">
        <f t="shared" si="802"/>
        <v>0</v>
      </c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>
        <f t="shared" si="803"/>
        <v>0</v>
      </c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>
        <f t="shared" si="804"/>
        <v>0</v>
      </c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>
        <f t="shared" si="805"/>
        <v>0</v>
      </c>
      <c r="AGY10" s="4">
        <f t="shared" si="806"/>
        <v>0</v>
      </c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>
        <f t="shared" si="807"/>
        <v>0</v>
      </c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>
        <f t="shared" si="808"/>
        <v>0</v>
      </c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>
        <f t="shared" si="809"/>
        <v>0</v>
      </c>
      <c r="AIM10" s="4">
        <f t="shared" si="810"/>
        <v>0</v>
      </c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>
        <f t="shared" si="811"/>
        <v>0</v>
      </c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>
        <f t="shared" si="812"/>
        <v>0</v>
      </c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>
        <f t="shared" si="813"/>
        <v>0</v>
      </c>
      <c r="AKA10" s="4">
        <f t="shared" si="814"/>
        <v>0</v>
      </c>
      <c r="AKB10" s="13">
        <f t="shared" si="815"/>
        <v>40753256.890000008</v>
      </c>
    </row>
    <row r="11" spans="1:965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719"/>
        <v>0</v>
      </c>
      <c r="Q11" s="4"/>
      <c r="R11" s="4"/>
      <c r="S11" s="4">
        <f>10800+157300</f>
        <v>168100</v>
      </c>
      <c r="T11" s="4"/>
      <c r="U11" s="4">
        <v>1782.77</v>
      </c>
      <c r="V11" s="4"/>
      <c r="W11" s="4"/>
      <c r="X11" s="4"/>
      <c r="Y11" s="4"/>
      <c r="Z11" s="4"/>
      <c r="AA11" s="4"/>
      <c r="AB11" s="4"/>
      <c r="AC11" s="4">
        <f t="shared" si="720"/>
        <v>169882.77</v>
      </c>
      <c r="AD11" s="4"/>
      <c r="AE11" s="4"/>
      <c r="AF11" s="4">
        <v>6687.5</v>
      </c>
      <c r="AG11" s="4"/>
      <c r="AH11" s="4"/>
      <c r="AI11" s="4"/>
      <c r="AJ11" s="4"/>
      <c r="AK11" s="4">
        <v>6698.2</v>
      </c>
      <c r="AL11" s="4">
        <v>6815.9</v>
      </c>
      <c r="AM11" s="4"/>
      <c r="AN11" s="4"/>
      <c r="AO11" s="4">
        <v>6789.15</v>
      </c>
      <c r="AP11" s="4">
        <f t="shared" si="721"/>
        <v>26990.75</v>
      </c>
      <c r="AQ11" s="4">
        <f t="shared" si="722"/>
        <v>196873.52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723"/>
        <v>0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>
        <f t="shared" si="724"/>
        <v>0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>
        <f t="shared" si="725"/>
        <v>0</v>
      </c>
      <c r="CE11" s="4">
        <f t="shared" si="726"/>
        <v>0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>
        <f t="shared" si="727"/>
        <v>0</v>
      </c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f t="shared" si="728"/>
        <v>0</v>
      </c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>
        <f t="shared" si="729"/>
        <v>0</v>
      </c>
      <c r="DS11" s="4">
        <f t="shared" si="730"/>
        <v>0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>
        <f t="shared" si="731"/>
        <v>0</v>
      </c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>
        <f t="shared" si="732"/>
        <v>0</v>
      </c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>
        <f t="shared" si="733"/>
        <v>0</v>
      </c>
      <c r="FG11" s="4">
        <f t="shared" si="734"/>
        <v>0</v>
      </c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>
        <f t="shared" si="735"/>
        <v>0</v>
      </c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>
        <f t="shared" si="736"/>
        <v>0</v>
      </c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>
        <f t="shared" si="737"/>
        <v>0</v>
      </c>
      <c r="GU11" s="4">
        <f t="shared" si="738"/>
        <v>0</v>
      </c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>
        <f t="shared" si="739"/>
        <v>0</v>
      </c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>
        <f t="shared" si="740"/>
        <v>0</v>
      </c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>
        <f t="shared" si="741"/>
        <v>0</v>
      </c>
      <c r="II11" s="4">
        <f t="shared" si="742"/>
        <v>0</v>
      </c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>
        <f t="shared" si="743"/>
        <v>0</v>
      </c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>
        <f t="shared" si="744"/>
        <v>0</v>
      </c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>
        <f t="shared" si="745"/>
        <v>0</v>
      </c>
      <c r="JW11" s="4">
        <f t="shared" si="746"/>
        <v>0</v>
      </c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>
        <f t="shared" si="747"/>
        <v>0</v>
      </c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>
        <f t="shared" si="748"/>
        <v>0</v>
      </c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>
        <f t="shared" si="749"/>
        <v>0</v>
      </c>
      <c r="LK11" s="4">
        <f t="shared" si="750"/>
        <v>0</v>
      </c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>
        <f t="shared" si="751"/>
        <v>0</v>
      </c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>
        <f t="shared" si="752"/>
        <v>0</v>
      </c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>
        <f t="shared" si="753"/>
        <v>0</v>
      </c>
      <c r="MY11" s="4">
        <f t="shared" si="754"/>
        <v>0</v>
      </c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>
        <f t="shared" si="755"/>
        <v>0</v>
      </c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>
        <f t="shared" si="756"/>
        <v>0</v>
      </c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>
        <f t="shared" si="757"/>
        <v>0</v>
      </c>
      <c r="OM11" s="4">
        <f t="shared" si="758"/>
        <v>0</v>
      </c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>
        <f t="shared" si="759"/>
        <v>0</v>
      </c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>
        <f t="shared" si="760"/>
        <v>0</v>
      </c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>
        <f t="shared" si="761"/>
        <v>0</v>
      </c>
      <c r="QA11" s="4">
        <f t="shared" si="762"/>
        <v>0</v>
      </c>
      <c r="QB11" s="4">
        <v>22670</v>
      </c>
      <c r="QC11" s="4">
        <v>22670</v>
      </c>
      <c r="QD11" s="4">
        <v>22670</v>
      </c>
      <c r="QE11" s="4">
        <v>22670</v>
      </c>
      <c r="QF11" s="4">
        <v>22670</v>
      </c>
      <c r="QG11" s="4">
        <v>22670</v>
      </c>
      <c r="QH11" s="37">
        <f>6360+23730</f>
        <v>30090</v>
      </c>
      <c r="QI11" s="4">
        <v>23730</v>
      </c>
      <c r="QJ11" s="4">
        <v>23730</v>
      </c>
      <c r="QK11" s="4">
        <v>23730</v>
      </c>
      <c r="QL11" s="4">
        <v>23730</v>
      </c>
      <c r="QM11" s="4">
        <v>23730</v>
      </c>
      <c r="QN11" s="4">
        <f t="shared" si="763"/>
        <v>284760</v>
      </c>
      <c r="QO11" s="4">
        <v>750</v>
      </c>
      <c r="QP11" s="4">
        <v>750</v>
      </c>
      <c r="QQ11" s="4">
        <v>750</v>
      </c>
      <c r="QR11" s="4">
        <v>750</v>
      </c>
      <c r="QS11" s="4">
        <v>750</v>
      </c>
      <c r="QT11" s="4">
        <v>750</v>
      </c>
      <c r="QU11" s="4">
        <v>750</v>
      </c>
      <c r="QV11" s="4">
        <v>750</v>
      </c>
      <c r="QW11" s="4">
        <v>750</v>
      </c>
      <c r="QX11" s="4">
        <v>750</v>
      </c>
      <c r="QY11" s="4">
        <v>750</v>
      </c>
      <c r="QZ11" s="4">
        <v>750</v>
      </c>
      <c r="RA11" s="4">
        <f t="shared" si="764"/>
        <v>9000</v>
      </c>
      <c r="RB11" s="4">
        <v>0</v>
      </c>
      <c r="RC11" s="4">
        <v>0</v>
      </c>
      <c r="RD11" s="4">
        <v>0</v>
      </c>
      <c r="RE11" s="4">
        <v>0</v>
      </c>
      <c r="RF11" s="4">
        <v>0</v>
      </c>
      <c r="RG11" s="4">
        <v>0</v>
      </c>
      <c r="RH11" s="4">
        <v>0</v>
      </c>
      <c r="RI11" s="4">
        <v>0</v>
      </c>
      <c r="RJ11" s="4">
        <v>0</v>
      </c>
      <c r="RK11" s="4">
        <v>0</v>
      </c>
      <c r="RL11" s="4">
        <v>0</v>
      </c>
      <c r="RM11" s="4">
        <v>0</v>
      </c>
      <c r="RN11" s="4">
        <f t="shared" si="765"/>
        <v>0</v>
      </c>
      <c r="RO11" s="4">
        <f t="shared" si="766"/>
        <v>293760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>
        <f t="shared" si="767"/>
        <v>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f t="shared" si="768"/>
        <v>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>
        <f t="shared" si="769"/>
        <v>0</v>
      </c>
      <c r="TC11" s="4">
        <f t="shared" si="770"/>
        <v>0</v>
      </c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>
        <f t="shared" si="771"/>
        <v>0</v>
      </c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>
        <f t="shared" si="772"/>
        <v>0</v>
      </c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>
        <f t="shared" si="773"/>
        <v>0</v>
      </c>
      <c r="UQ11" s="4">
        <f t="shared" si="774"/>
        <v>0</v>
      </c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>
        <f t="shared" si="775"/>
        <v>0</v>
      </c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>
        <f t="shared" si="776"/>
        <v>0</v>
      </c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>
        <f t="shared" si="777"/>
        <v>0</v>
      </c>
      <c r="WE11" s="4">
        <f t="shared" si="778"/>
        <v>0</v>
      </c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>
        <f t="shared" si="779"/>
        <v>0</v>
      </c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>
        <f t="shared" si="780"/>
        <v>0</v>
      </c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>
        <f t="shared" si="781"/>
        <v>0</v>
      </c>
      <c r="XS11" s="4">
        <f t="shared" si="782"/>
        <v>0</v>
      </c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>
        <f t="shared" si="783"/>
        <v>0</v>
      </c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>
        <f t="shared" si="784"/>
        <v>0</v>
      </c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>
        <f t="shared" si="785"/>
        <v>0</v>
      </c>
      <c r="ZG11" s="4">
        <f t="shared" si="786"/>
        <v>0</v>
      </c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>
        <f t="shared" si="787"/>
        <v>0</v>
      </c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>
        <f t="shared" si="788"/>
        <v>0</v>
      </c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>
        <f t="shared" si="789"/>
        <v>0</v>
      </c>
      <c r="AAU11" s="4">
        <f t="shared" si="790"/>
        <v>0</v>
      </c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>
        <f t="shared" si="791"/>
        <v>0</v>
      </c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>
        <f t="shared" si="792"/>
        <v>0</v>
      </c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>
        <f t="shared" si="793"/>
        <v>0</v>
      </c>
      <c r="ACI11" s="4">
        <f t="shared" si="794"/>
        <v>0</v>
      </c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>
        <f t="shared" si="795"/>
        <v>0</v>
      </c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>
        <f t="shared" si="796"/>
        <v>0</v>
      </c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>
        <f t="shared" si="797"/>
        <v>0</v>
      </c>
      <c r="ADW11" s="4">
        <f t="shared" si="798"/>
        <v>0</v>
      </c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>
        <f t="shared" si="799"/>
        <v>0</v>
      </c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>
        <f t="shared" si="800"/>
        <v>0</v>
      </c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>
        <f t="shared" si="801"/>
        <v>0</v>
      </c>
      <c r="AFK11" s="4">
        <f t="shared" si="802"/>
        <v>0</v>
      </c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>
        <f t="shared" si="803"/>
        <v>0</v>
      </c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>
        <f t="shared" si="804"/>
        <v>0</v>
      </c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>
        <f t="shared" si="805"/>
        <v>0</v>
      </c>
      <c r="AGY11" s="4">
        <f t="shared" si="806"/>
        <v>0</v>
      </c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>
        <f t="shared" si="807"/>
        <v>0</v>
      </c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>
        <f t="shared" si="808"/>
        <v>0</v>
      </c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>
        <f t="shared" si="809"/>
        <v>0</v>
      </c>
      <c r="AIM11" s="4">
        <f t="shared" si="810"/>
        <v>0</v>
      </c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>
        <f t="shared" si="811"/>
        <v>0</v>
      </c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>
        <f t="shared" si="812"/>
        <v>0</v>
      </c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>
        <f t="shared" si="813"/>
        <v>0</v>
      </c>
      <c r="AKA11" s="4">
        <f t="shared" si="814"/>
        <v>0</v>
      </c>
      <c r="AKB11" s="13">
        <f t="shared" si="815"/>
        <v>490633.52</v>
      </c>
    </row>
    <row r="12" spans="1:965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719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720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721"/>
        <v>0</v>
      </c>
      <c r="AQ12" s="4">
        <f t="shared" si="722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723"/>
        <v>0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>
        <f t="shared" si="724"/>
        <v>0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>
        <f t="shared" si="725"/>
        <v>0</v>
      </c>
      <c r="CE12" s="4">
        <f t="shared" si="726"/>
        <v>0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>
        <f t="shared" si="727"/>
        <v>0</v>
      </c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>
        <f t="shared" si="728"/>
        <v>0</v>
      </c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>
        <f t="shared" si="729"/>
        <v>0</v>
      </c>
      <c r="DS12" s="4">
        <f t="shared" si="730"/>
        <v>0</v>
      </c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>
        <f t="shared" si="731"/>
        <v>0</v>
      </c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>
        <f t="shared" si="732"/>
        <v>0</v>
      </c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>
        <f t="shared" si="733"/>
        <v>0</v>
      </c>
      <c r="FG12" s="4">
        <f t="shared" si="734"/>
        <v>0</v>
      </c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>
        <f t="shared" si="735"/>
        <v>0</v>
      </c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>
        <f t="shared" si="736"/>
        <v>0</v>
      </c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>
        <f t="shared" si="737"/>
        <v>0</v>
      </c>
      <c r="GU12" s="4">
        <f t="shared" si="738"/>
        <v>0</v>
      </c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>
        <f t="shared" si="739"/>
        <v>0</v>
      </c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>
        <f t="shared" si="740"/>
        <v>0</v>
      </c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>
        <f t="shared" si="741"/>
        <v>0</v>
      </c>
      <c r="II12" s="4">
        <f t="shared" si="742"/>
        <v>0</v>
      </c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>
        <f t="shared" si="743"/>
        <v>0</v>
      </c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>
        <f t="shared" si="744"/>
        <v>0</v>
      </c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>
        <f t="shared" si="745"/>
        <v>0</v>
      </c>
      <c r="JW12" s="4">
        <f t="shared" si="746"/>
        <v>0</v>
      </c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>
        <f t="shared" si="747"/>
        <v>0</v>
      </c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>
        <f t="shared" si="748"/>
        <v>0</v>
      </c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>
        <f t="shared" si="749"/>
        <v>0</v>
      </c>
      <c r="LK12" s="4">
        <f t="shared" si="750"/>
        <v>0</v>
      </c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>
        <f t="shared" si="751"/>
        <v>0</v>
      </c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>
        <f t="shared" si="752"/>
        <v>0</v>
      </c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>
        <f t="shared" si="753"/>
        <v>0</v>
      </c>
      <c r="MY12" s="4">
        <f t="shared" si="754"/>
        <v>0</v>
      </c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>
        <f t="shared" si="755"/>
        <v>0</v>
      </c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>
        <f t="shared" si="756"/>
        <v>0</v>
      </c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>
        <f t="shared" si="757"/>
        <v>0</v>
      </c>
      <c r="OM12" s="4">
        <f t="shared" si="758"/>
        <v>0</v>
      </c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f t="shared" si="759"/>
        <v>0</v>
      </c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>
        <f t="shared" si="760"/>
        <v>0</v>
      </c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>
        <f t="shared" si="761"/>
        <v>0</v>
      </c>
      <c r="QA12" s="4">
        <f t="shared" si="762"/>
        <v>0</v>
      </c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>
        <f t="shared" si="763"/>
        <v>0</v>
      </c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>
        <f t="shared" si="764"/>
        <v>0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>
        <f t="shared" si="765"/>
        <v>0</v>
      </c>
      <c r="RO12" s="4">
        <f t="shared" si="766"/>
        <v>0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>
        <f t="shared" si="767"/>
        <v>0</v>
      </c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f t="shared" si="768"/>
        <v>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>
        <f t="shared" si="769"/>
        <v>0</v>
      </c>
      <c r="TC12" s="4">
        <f t="shared" si="770"/>
        <v>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>
        <f t="shared" si="771"/>
        <v>0</v>
      </c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>
        <f t="shared" si="772"/>
        <v>0</v>
      </c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>
        <f t="shared" si="773"/>
        <v>0</v>
      </c>
      <c r="UQ12" s="4">
        <f t="shared" si="774"/>
        <v>0</v>
      </c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>
        <f t="shared" si="775"/>
        <v>0</v>
      </c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>
        <f t="shared" si="776"/>
        <v>0</v>
      </c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>
        <f t="shared" si="777"/>
        <v>0</v>
      </c>
      <c r="WE12" s="4">
        <f t="shared" si="778"/>
        <v>0</v>
      </c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>
        <f t="shared" si="779"/>
        <v>0</v>
      </c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>
        <f t="shared" si="780"/>
        <v>0</v>
      </c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>
        <f t="shared" si="781"/>
        <v>0</v>
      </c>
      <c r="XS12" s="4">
        <f t="shared" si="782"/>
        <v>0</v>
      </c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>
        <f t="shared" si="783"/>
        <v>0</v>
      </c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>
        <f t="shared" si="784"/>
        <v>0</v>
      </c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>
        <f t="shared" si="785"/>
        <v>0</v>
      </c>
      <c r="ZG12" s="4">
        <f t="shared" si="786"/>
        <v>0</v>
      </c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>
        <f t="shared" si="787"/>
        <v>0</v>
      </c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>
        <f t="shared" si="788"/>
        <v>0</v>
      </c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>
        <f t="shared" si="789"/>
        <v>0</v>
      </c>
      <c r="AAU12" s="4">
        <f t="shared" si="790"/>
        <v>0</v>
      </c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>
        <f t="shared" si="791"/>
        <v>0</v>
      </c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>
        <f t="shared" si="792"/>
        <v>0</v>
      </c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>
        <f t="shared" si="793"/>
        <v>0</v>
      </c>
      <c r="ACI12" s="4">
        <f t="shared" si="794"/>
        <v>0</v>
      </c>
      <c r="ACJ12" s="4">
        <v>216730</v>
      </c>
      <c r="ACK12" s="4">
        <v>216730</v>
      </c>
      <c r="ACL12" s="4">
        <v>216730</v>
      </c>
      <c r="ACM12" s="4">
        <v>216730</v>
      </c>
      <c r="ACN12" s="4">
        <v>216730</v>
      </c>
      <c r="ACO12" s="4">
        <v>216730</v>
      </c>
      <c r="ACP12" s="37">
        <f>65280+227610</f>
        <v>292890</v>
      </c>
      <c r="ACQ12" s="4">
        <v>227610</v>
      </c>
      <c r="ACR12" s="4">
        <v>227610</v>
      </c>
      <c r="ACS12" s="4">
        <v>227610</v>
      </c>
      <c r="ACT12" s="4">
        <v>227610</v>
      </c>
      <c r="ACU12" s="4">
        <v>227610</v>
      </c>
      <c r="ACV12" s="4">
        <f t="shared" si="795"/>
        <v>2731320</v>
      </c>
      <c r="ACW12" s="4">
        <v>6750</v>
      </c>
      <c r="ACX12" s="4">
        <v>6750</v>
      </c>
      <c r="ACY12" s="4">
        <v>6750</v>
      </c>
      <c r="ACZ12" s="4">
        <v>6750</v>
      </c>
      <c r="ADA12" s="4">
        <v>6750</v>
      </c>
      <c r="ADB12" s="4">
        <v>6750</v>
      </c>
      <c r="ADC12" s="4">
        <v>6750</v>
      </c>
      <c r="ADD12" s="4">
        <v>6750</v>
      </c>
      <c r="ADE12" s="4">
        <v>6750</v>
      </c>
      <c r="ADF12" s="4">
        <v>6750</v>
      </c>
      <c r="ADG12" s="4">
        <v>6750</v>
      </c>
      <c r="ADH12" s="4">
        <v>6750</v>
      </c>
      <c r="ADI12" s="4">
        <f t="shared" si="796"/>
        <v>81000</v>
      </c>
      <c r="ADJ12" s="4">
        <v>6502</v>
      </c>
      <c r="ADK12" s="4">
        <v>6502</v>
      </c>
      <c r="ADL12" s="4">
        <v>6502</v>
      </c>
      <c r="ADM12" s="4">
        <v>6502</v>
      </c>
      <c r="ADN12" s="4">
        <v>6502</v>
      </c>
      <c r="ADO12" s="4">
        <v>6502</v>
      </c>
      <c r="ADP12" s="37">
        <f>1956+6828</f>
        <v>8784</v>
      </c>
      <c r="ADQ12" s="4">
        <v>6828</v>
      </c>
      <c r="ADR12" s="4">
        <v>6828</v>
      </c>
      <c r="ADS12" s="4">
        <v>6828</v>
      </c>
      <c r="ADT12" s="4">
        <v>6828</v>
      </c>
      <c r="ADU12" s="4">
        <v>6828</v>
      </c>
      <c r="ADV12" s="4">
        <f t="shared" si="797"/>
        <v>81936</v>
      </c>
      <c r="ADW12" s="4">
        <f t="shared" si="798"/>
        <v>2894256</v>
      </c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>
        <f t="shared" si="799"/>
        <v>0</v>
      </c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>
        <f t="shared" si="800"/>
        <v>0</v>
      </c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>
        <f t="shared" si="801"/>
        <v>0</v>
      </c>
      <c r="AFK12" s="4">
        <f t="shared" si="802"/>
        <v>0</v>
      </c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>
        <f t="shared" si="803"/>
        <v>0</v>
      </c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>
        <f t="shared" si="804"/>
        <v>0</v>
      </c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>
        <f t="shared" si="805"/>
        <v>0</v>
      </c>
      <c r="AGY12" s="4">
        <f t="shared" si="806"/>
        <v>0</v>
      </c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>
        <f t="shared" si="807"/>
        <v>0</v>
      </c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>
        <f t="shared" si="808"/>
        <v>0</v>
      </c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>
        <f t="shared" si="809"/>
        <v>0</v>
      </c>
      <c r="AIM12" s="4">
        <f t="shared" si="810"/>
        <v>0</v>
      </c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>
        <f t="shared" si="811"/>
        <v>0</v>
      </c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>
        <f t="shared" si="812"/>
        <v>0</v>
      </c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>
        <f t="shared" si="813"/>
        <v>0</v>
      </c>
      <c r="AKA12" s="4">
        <f t="shared" si="814"/>
        <v>0</v>
      </c>
      <c r="AKB12" s="13">
        <f t="shared" si="815"/>
        <v>2894256</v>
      </c>
    </row>
    <row r="13" spans="1:965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719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720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721"/>
        <v>0</v>
      </c>
      <c r="AQ13" s="4">
        <f t="shared" si="722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723"/>
        <v>0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>
        <f t="shared" si="724"/>
        <v>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>
        <f t="shared" si="725"/>
        <v>0</v>
      </c>
      <c r="CE13" s="4">
        <f t="shared" si="726"/>
        <v>0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>
        <f t="shared" si="727"/>
        <v>0</v>
      </c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>
        <f t="shared" si="728"/>
        <v>0</v>
      </c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>
        <f t="shared" si="729"/>
        <v>0</v>
      </c>
      <c r="DS13" s="4">
        <f t="shared" si="730"/>
        <v>0</v>
      </c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>
        <f t="shared" si="731"/>
        <v>0</v>
      </c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>
        <f t="shared" si="732"/>
        <v>0</v>
      </c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>
        <f t="shared" si="733"/>
        <v>0</v>
      </c>
      <c r="FG13" s="4">
        <f t="shared" si="734"/>
        <v>0</v>
      </c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>
        <f t="shared" si="735"/>
        <v>0</v>
      </c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>
        <f t="shared" si="736"/>
        <v>0</v>
      </c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>
        <f t="shared" si="737"/>
        <v>0</v>
      </c>
      <c r="GU13" s="4">
        <f t="shared" si="738"/>
        <v>0</v>
      </c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>
        <f t="shared" si="739"/>
        <v>0</v>
      </c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>
        <f t="shared" si="740"/>
        <v>0</v>
      </c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>
        <f t="shared" si="741"/>
        <v>0</v>
      </c>
      <c r="II13" s="4">
        <f t="shared" si="742"/>
        <v>0</v>
      </c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>
        <f t="shared" si="743"/>
        <v>0</v>
      </c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>
        <f t="shared" si="744"/>
        <v>0</v>
      </c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>
        <f t="shared" si="745"/>
        <v>0</v>
      </c>
      <c r="JW13" s="4">
        <f t="shared" si="746"/>
        <v>0</v>
      </c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>
        <f t="shared" si="747"/>
        <v>0</v>
      </c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>
        <f t="shared" si="748"/>
        <v>0</v>
      </c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>
        <f t="shared" si="749"/>
        <v>0</v>
      </c>
      <c r="LK13" s="4">
        <f t="shared" si="750"/>
        <v>0</v>
      </c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>
        <f t="shared" si="751"/>
        <v>0</v>
      </c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>
        <f t="shared" si="752"/>
        <v>0</v>
      </c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>
        <f t="shared" si="753"/>
        <v>0</v>
      </c>
      <c r="MY13" s="4">
        <f t="shared" si="754"/>
        <v>0</v>
      </c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>
        <f t="shared" si="755"/>
        <v>0</v>
      </c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>
        <f t="shared" si="756"/>
        <v>0</v>
      </c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>
        <f t="shared" si="757"/>
        <v>0</v>
      </c>
      <c r="OM13" s="4">
        <f t="shared" si="758"/>
        <v>0</v>
      </c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>
        <f t="shared" si="759"/>
        <v>0</v>
      </c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>
        <f t="shared" si="760"/>
        <v>0</v>
      </c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>
        <f t="shared" si="761"/>
        <v>0</v>
      </c>
      <c r="QA13" s="4">
        <f t="shared" si="762"/>
        <v>0</v>
      </c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>
        <f t="shared" si="763"/>
        <v>0</v>
      </c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>
        <f t="shared" si="764"/>
        <v>0</v>
      </c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>
        <f t="shared" si="765"/>
        <v>0</v>
      </c>
      <c r="RO13" s="4">
        <f t="shared" si="766"/>
        <v>0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>
        <f t="shared" si="767"/>
        <v>0</v>
      </c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>
        <f t="shared" si="768"/>
        <v>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>
        <f t="shared" si="769"/>
        <v>0</v>
      </c>
      <c r="TC13" s="4">
        <f t="shared" si="770"/>
        <v>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>
        <f t="shared" si="771"/>
        <v>0</v>
      </c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f t="shared" si="772"/>
        <v>0</v>
      </c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>
        <f t="shared" si="773"/>
        <v>0</v>
      </c>
      <c r="UQ13" s="4">
        <f t="shared" si="774"/>
        <v>0</v>
      </c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>
        <f t="shared" si="775"/>
        <v>0</v>
      </c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>
        <f t="shared" si="776"/>
        <v>0</v>
      </c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>
        <f t="shared" si="777"/>
        <v>0</v>
      </c>
      <c r="WE13" s="4">
        <f t="shared" si="778"/>
        <v>0</v>
      </c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>
        <f t="shared" si="779"/>
        <v>0</v>
      </c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>
        <f t="shared" si="780"/>
        <v>0</v>
      </c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>
        <f t="shared" si="781"/>
        <v>0</v>
      </c>
      <c r="XS13" s="4">
        <f t="shared" si="782"/>
        <v>0</v>
      </c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>
        <f t="shared" si="783"/>
        <v>0</v>
      </c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>
        <f t="shared" si="784"/>
        <v>0</v>
      </c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>
        <f t="shared" si="785"/>
        <v>0</v>
      </c>
      <c r="ZG13" s="4">
        <f t="shared" si="786"/>
        <v>0</v>
      </c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>
        <f t="shared" si="787"/>
        <v>0</v>
      </c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>
        <f t="shared" si="788"/>
        <v>0</v>
      </c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>
        <f t="shared" si="789"/>
        <v>0</v>
      </c>
      <c r="AAU13" s="4">
        <f t="shared" si="790"/>
        <v>0</v>
      </c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>
        <f t="shared" si="791"/>
        <v>0</v>
      </c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>
        <f t="shared" si="792"/>
        <v>0</v>
      </c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>
        <f t="shared" si="793"/>
        <v>0</v>
      </c>
      <c r="ACI13" s="4">
        <f t="shared" si="794"/>
        <v>0</v>
      </c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>
        <f t="shared" si="795"/>
        <v>0</v>
      </c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>
        <f t="shared" si="796"/>
        <v>0</v>
      </c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>
        <f t="shared" si="797"/>
        <v>0</v>
      </c>
      <c r="ADW13" s="4">
        <f t="shared" si="798"/>
        <v>0</v>
      </c>
      <c r="ADX13" s="4">
        <v>43940</v>
      </c>
      <c r="ADY13" s="4">
        <v>43940</v>
      </c>
      <c r="ADZ13" s="4">
        <v>43940</v>
      </c>
      <c r="AEA13" s="4">
        <v>43940</v>
      </c>
      <c r="AEB13" s="4">
        <v>43940</v>
      </c>
      <c r="AEC13" s="4">
        <v>43940</v>
      </c>
      <c r="AED13" s="37">
        <f>13080+46120</f>
        <v>59200</v>
      </c>
      <c r="AEE13" s="4">
        <v>46120</v>
      </c>
      <c r="AEF13" s="4">
        <v>46120</v>
      </c>
      <c r="AEG13" s="4">
        <v>46120</v>
      </c>
      <c r="AEH13" s="4">
        <v>46120</v>
      </c>
      <c r="AEI13" s="4">
        <v>46120</v>
      </c>
      <c r="AEJ13" s="4">
        <f t="shared" si="799"/>
        <v>553440</v>
      </c>
      <c r="AEK13" s="4">
        <v>1500</v>
      </c>
      <c r="AEL13" s="4">
        <v>1500</v>
      </c>
      <c r="AEM13" s="4">
        <v>1500</v>
      </c>
      <c r="AEN13" s="4">
        <v>1500</v>
      </c>
      <c r="AEO13" s="4">
        <v>1500</v>
      </c>
      <c r="AEP13" s="4">
        <v>1500</v>
      </c>
      <c r="AEQ13" s="4">
        <v>1500</v>
      </c>
      <c r="AER13" s="4">
        <v>1500</v>
      </c>
      <c r="AES13" s="4">
        <v>1500</v>
      </c>
      <c r="AET13" s="4">
        <v>1500</v>
      </c>
      <c r="AEU13" s="4">
        <v>1500</v>
      </c>
      <c r="AEV13" s="4">
        <v>1500</v>
      </c>
      <c r="AEW13" s="4">
        <f t="shared" si="800"/>
        <v>18000</v>
      </c>
      <c r="AEX13" s="4">
        <v>1318</v>
      </c>
      <c r="AEY13" s="4">
        <v>1318</v>
      </c>
      <c r="AEZ13" s="4">
        <v>1318</v>
      </c>
      <c r="AFA13" s="4">
        <v>1318</v>
      </c>
      <c r="AFB13" s="4">
        <v>1318</v>
      </c>
      <c r="AFC13" s="4">
        <v>1318</v>
      </c>
      <c r="AFD13" s="37">
        <f>390+1384</f>
        <v>1774</v>
      </c>
      <c r="AFE13" s="4">
        <v>1384</v>
      </c>
      <c r="AFF13" s="4">
        <v>1384</v>
      </c>
      <c r="AFG13" s="4">
        <v>1384</v>
      </c>
      <c r="AFH13" s="4">
        <v>1384</v>
      </c>
      <c r="AFI13" s="4">
        <v>1384</v>
      </c>
      <c r="AFJ13" s="4">
        <f t="shared" si="801"/>
        <v>16602</v>
      </c>
      <c r="AFK13" s="4">
        <f t="shared" si="802"/>
        <v>588042</v>
      </c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>
        <f t="shared" si="803"/>
        <v>0</v>
      </c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>
        <f t="shared" si="804"/>
        <v>0</v>
      </c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>
        <f t="shared" si="805"/>
        <v>0</v>
      </c>
      <c r="AGY13" s="4">
        <f t="shared" si="806"/>
        <v>0</v>
      </c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>
        <f t="shared" si="807"/>
        <v>0</v>
      </c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>
        <f t="shared" si="808"/>
        <v>0</v>
      </c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>
        <f t="shared" si="809"/>
        <v>0</v>
      </c>
      <c r="AIM13" s="4">
        <f t="shared" si="810"/>
        <v>0</v>
      </c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>
        <f t="shared" si="811"/>
        <v>0</v>
      </c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>
        <f t="shared" si="812"/>
        <v>0</v>
      </c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>
        <f t="shared" si="813"/>
        <v>0</v>
      </c>
      <c r="AKA13" s="4">
        <f t="shared" si="814"/>
        <v>0</v>
      </c>
      <c r="AKB13" s="13">
        <f t="shared" si="815"/>
        <v>588042</v>
      </c>
      <c r="AKC13" s="3">
        <f>SUM(AKB6:AKB13)</f>
        <v>44726188.410000011</v>
      </c>
    </row>
    <row r="14" spans="1:965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719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720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721"/>
        <v>0</v>
      </c>
      <c r="AQ14" s="4">
        <f t="shared" si="722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723"/>
        <v>0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>
        <f t="shared" si="724"/>
        <v>0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>
        <f t="shared" si="725"/>
        <v>0</v>
      </c>
      <c r="CE14" s="4">
        <f t="shared" si="726"/>
        <v>0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>
        <f t="shared" si="727"/>
        <v>0</v>
      </c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>
        <f t="shared" si="728"/>
        <v>0</v>
      </c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>
        <f t="shared" si="729"/>
        <v>0</v>
      </c>
      <c r="DS14" s="4">
        <f t="shared" si="730"/>
        <v>0</v>
      </c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>
        <f t="shared" si="731"/>
        <v>0</v>
      </c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>
        <f t="shared" si="732"/>
        <v>0</v>
      </c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>
        <f t="shared" si="733"/>
        <v>0</v>
      </c>
      <c r="FG14" s="4">
        <f t="shared" si="734"/>
        <v>0</v>
      </c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>
        <f t="shared" si="735"/>
        <v>0</v>
      </c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>
        <f t="shared" si="736"/>
        <v>0</v>
      </c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>
        <f t="shared" si="737"/>
        <v>0</v>
      </c>
      <c r="GU14" s="4">
        <f t="shared" si="738"/>
        <v>0</v>
      </c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>
        <f t="shared" si="739"/>
        <v>0</v>
      </c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>
        <f t="shared" si="740"/>
        <v>0</v>
      </c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>
        <f t="shared" si="741"/>
        <v>0</v>
      </c>
      <c r="II14" s="4">
        <f t="shared" si="742"/>
        <v>0</v>
      </c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>
        <f t="shared" si="743"/>
        <v>0</v>
      </c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>
        <f t="shared" si="744"/>
        <v>0</v>
      </c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>
        <f t="shared" si="745"/>
        <v>0</v>
      </c>
      <c r="JW14" s="4">
        <f t="shared" si="746"/>
        <v>0</v>
      </c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>
        <f t="shared" si="747"/>
        <v>0</v>
      </c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>
        <f t="shared" si="748"/>
        <v>0</v>
      </c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>
        <f t="shared" si="749"/>
        <v>0</v>
      </c>
      <c r="LK14" s="4">
        <f t="shared" si="750"/>
        <v>0</v>
      </c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>
        <f t="shared" si="751"/>
        <v>0</v>
      </c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>
        <f t="shared" si="752"/>
        <v>0</v>
      </c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>
        <f t="shared" si="753"/>
        <v>0</v>
      </c>
      <c r="MY14" s="4">
        <f t="shared" si="754"/>
        <v>0</v>
      </c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>
        <f t="shared" si="755"/>
        <v>0</v>
      </c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>
        <f t="shared" si="756"/>
        <v>0</v>
      </c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>
        <f t="shared" si="757"/>
        <v>0</v>
      </c>
      <c r="OM14" s="4">
        <f t="shared" si="758"/>
        <v>0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>
        <f t="shared" si="759"/>
        <v>0</v>
      </c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>
        <f t="shared" si="760"/>
        <v>0</v>
      </c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>
        <f t="shared" si="761"/>
        <v>0</v>
      </c>
      <c r="QA14" s="4">
        <f t="shared" si="762"/>
        <v>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>
        <f t="shared" si="763"/>
        <v>0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f t="shared" si="764"/>
        <v>0</v>
      </c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>
        <f t="shared" si="765"/>
        <v>0</v>
      </c>
      <c r="RO14" s="4">
        <f t="shared" si="766"/>
        <v>0</v>
      </c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>
        <f t="shared" si="767"/>
        <v>0</v>
      </c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>
        <f t="shared" si="768"/>
        <v>0</v>
      </c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f t="shared" si="769"/>
        <v>0</v>
      </c>
      <c r="TC14" s="4">
        <f t="shared" si="770"/>
        <v>0</v>
      </c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>
        <f t="shared" si="771"/>
        <v>0</v>
      </c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>
        <f t="shared" si="772"/>
        <v>0</v>
      </c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>
        <f t="shared" si="773"/>
        <v>0</v>
      </c>
      <c r="UQ14" s="4">
        <f t="shared" si="774"/>
        <v>0</v>
      </c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>
        <f t="shared" si="775"/>
        <v>0</v>
      </c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>
        <f t="shared" si="776"/>
        <v>0</v>
      </c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>
        <f t="shared" si="777"/>
        <v>0</v>
      </c>
      <c r="WE14" s="4">
        <f t="shared" si="778"/>
        <v>0</v>
      </c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>
        <f t="shared" si="779"/>
        <v>0</v>
      </c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>
        <f t="shared" si="780"/>
        <v>0</v>
      </c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>
        <f t="shared" si="781"/>
        <v>0</v>
      </c>
      <c r="XS14" s="4">
        <f t="shared" si="782"/>
        <v>0</v>
      </c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>
        <f t="shared" si="783"/>
        <v>0</v>
      </c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>
        <f t="shared" si="784"/>
        <v>0</v>
      </c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>
        <f t="shared" si="785"/>
        <v>0</v>
      </c>
      <c r="ZG14" s="4">
        <f t="shared" si="786"/>
        <v>0</v>
      </c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>
        <f t="shared" si="787"/>
        <v>0</v>
      </c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>
        <f t="shared" si="788"/>
        <v>0</v>
      </c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>
        <f t="shared" si="789"/>
        <v>0</v>
      </c>
      <c r="AAU14" s="4">
        <f t="shared" si="790"/>
        <v>0</v>
      </c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>
        <f t="shared" si="791"/>
        <v>0</v>
      </c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>
        <f t="shared" si="792"/>
        <v>0</v>
      </c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>
        <f t="shared" si="793"/>
        <v>0</v>
      </c>
      <c r="ACI14" s="4">
        <f t="shared" si="794"/>
        <v>0</v>
      </c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>
        <f t="shared" si="795"/>
        <v>0</v>
      </c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>
        <f t="shared" si="796"/>
        <v>0</v>
      </c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>
        <f t="shared" si="797"/>
        <v>0</v>
      </c>
      <c r="ADW14" s="4">
        <f t="shared" si="798"/>
        <v>0</v>
      </c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>
        <f t="shared" si="799"/>
        <v>0</v>
      </c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>
        <f t="shared" si="800"/>
        <v>0</v>
      </c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>
        <f t="shared" si="801"/>
        <v>0</v>
      </c>
      <c r="AFK14" s="4">
        <f t="shared" si="802"/>
        <v>0</v>
      </c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>
        <f t="shared" si="803"/>
        <v>0</v>
      </c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>
        <f t="shared" si="804"/>
        <v>0</v>
      </c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>
        <f t="shared" si="805"/>
        <v>0</v>
      </c>
      <c r="AGY14" s="4">
        <f t="shared" si="806"/>
        <v>0</v>
      </c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>
        <f t="shared" si="807"/>
        <v>0</v>
      </c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>
        <f t="shared" si="808"/>
        <v>0</v>
      </c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>
        <f t="shared" si="809"/>
        <v>0</v>
      </c>
      <c r="AIM14" s="4">
        <f t="shared" si="810"/>
        <v>0</v>
      </c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>
        <f t="shared" si="811"/>
        <v>0</v>
      </c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>
        <f t="shared" si="812"/>
        <v>0</v>
      </c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>
        <f t="shared" si="813"/>
        <v>0</v>
      </c>
      <c r="AKA14" s="4">
        <f t="shared" si="814"/>
        <v>0</v>
      </c>
      <c r="AKB14" s="13">
        <f t="shared" si="815"/>
        <v>0</v>
      </c>
    </row>
    <row r="15" spans="1:965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719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720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721"/>
        <v>0</v>
      </c>
      <c r="AQ15" s="4">
        <f t="shared" si="722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723"/>
        <v>0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>
        <f t="shared" si="724"/>
        <v>0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>
        <f t="shared" si="725"/>
        <v>0</v>
      </c>
      <c r="CE15" s="4">
        <f t="shared" si="726"/>
        <v>0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>
        <f t="shared" si="727"/>
        <v>0</v>
      </c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>
        <f t="shared" si="728"/>
        <v>0</v>
      </c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>
        <f t="shared" si="729"/>
        <v>0</v>
      </c>
      <c r="DS15" s="4">
        <f t="shared" si="730"/>
        <v>0</v>
      </c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>
        <f t="shared" si="731"/>
        <v>0</v>
      </c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>
        <f t="shared" si="732"/>
        <v>0</v>
      </c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>
        <f t="shared" si="733"/>
        <v>0</v>
      </c>
      <c r="FG15" s="4">
        <f t="shared" si="734"/>
        <v>0</v>
      </c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>
        <f t="shared" si="735"/>
        <v>0</v>
      </c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>
        <f t="shared" si="736"/>
        <v>0</v>
      </c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>
        <f t="shared" si="737"/>
        <v>0</v>
      </c>
      <c r="GU15" s="4">
        <f t="shared" si="738"/>
        <v>0</v>
      </c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>
        <f t="shared" si="739"/>
        <v>0</v>
      </c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>
        <f t="shared" si="740"/>
        <v>0</v>
      </c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>
        <f t="shared" si="741"/>
        <v>0</v>
      </c>
      <c r="II15" s="4">
        <f t="shared" si="742"/>
        <v>0</v>
      </c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>
        <f t="shared" si="743"/>
        <v>0</v>
      </c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>
        <f t="shared" si="744"/>
        <v>0</v>
      </c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>
        <f t="shared" si="745"/>
        <v>0</v>
      </c>
      <c r="JW15" s="4">
        <f t="shared" si="746"/>
        <v>0</v>
      </c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>
        <f t="shared" si="747"/>
        <v>0</v>
      </c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>
        <f t="shared" si="748"/>
        <v>0</v>
      </c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>
        <f t="shared" si="749"/>
        <v>0</v>
      </c>
      <c r="LK15" s="4">
        <f t="shared" si="750"/>
        <v>0</v>
      </c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>
        <f t="shared" si="751"/>
        <v>0</v>
      </c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>
        <f t="shared" si="752"/>
        <v>0</v>
      </c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>
        <f t="shared" si="753"/>
        <v>0</v>
      </c>
      <c r="MY15" s="4">
        <f t="shared" si="754"/>
        <v>0</v>
      </c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>
        <f t="shared" si="755"/>
        <v>0</v>
      </c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>
        <f t="shared" si="756"/>
        <v>0</v>
      </c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>
        <f t="shared" si="757"/>
        <v>0</v>
      </c>
      <c r="OM15" s="4">
        <f t="shared" si="758"/>
        <v>0</v>
      </c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>
        <f t="shared" si="759"/>
        <v>0</v>
      </c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>
        <f t="shared" si="760"/>
        <v>0</v>
      </c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>
        <f t="shared" si="761"/>
        <v>0</v>
      </c>
      <c r="QA15" s="4">
        <f t="shared" si="762"/>
        <v>0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>
        <f t="shared" si="763"/>
        <v>0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>
        <f t="shared" si="764"/>
        <v>0</v>
      </c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>
        <f t="shared" si="765"/>
        <v>0</v>
      </c>
      <c r="RO15" s="4">
        <f t="shared" si="766"/>
        <v>0</v>
      </c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>
        <f t="shared" si="767"/>
        <v>0</v>
      </c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>
        <f t="shared" si="768"/>
        <v>0</v>
      </c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>
        <f t="shared" si="769"/>
        <v>0</v>
      </c>
      <c r="TC15" s="4">
        <f t="shared" si="770"/>
        <v>0</v>
      </c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>
        <f t="shared" si="771"/>
        <v>0</v>
      </c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f t="shared" si="772"/>
        <v>0</v>
      </c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>
        <f t="shared" si="773"/>
        <v>0</v>
      </c>
      <c r="UQ15" s="4">
        <f t="shared" si="774"/>
        <v>0</v>
      </c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>
        <f t="shared" si="775"/>
        <v>0</v>
      </c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>
        <f t="shared" si="776"/>
        <v>0</v>
      </c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>
        <f t="shared" si="777"/>
        <v>0</v>
      </c>
      <c r="WE15" s="4">
        <f t="shared" si="778"/>
        <v>0</v>
      </c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>
        <f t="shared" si="779"/>
        <v>0</v>
      </c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>
        <f t="shared" si="780"/>
        <v>0</v>
      </c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>
        <f t="shared" si="781"/>
        <v>0</v>
      </c>
      <c r="XS15" s="4">
        <f t="shared" si="782"/>
        <v>0</v>
      </c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>
        <f t="shared" si="783"/>
        <v>0</v>
      </c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>
        <f t="shared" si="784"/>
        <v>0</v>
      </c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>
        <f t="shared" si="785"/>
        <v>0</v>
      </c>
      <c r="ZG15" s="4">
        <f t="shared" si="786"/>
        <v>0</v>
      </c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>
        <f t="shared" si="787"/>
        <v>0</v>
      </c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>
        <f t="shared" si="788"/>
        <v>0</v>
      </c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>
        <f t="shared" si="789"/>
        <v>0</v>
      </c>
      <c r="AAU15" s="4">
        <f t="shared" si="790"/>
        <v>0</v>
      </c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>
        <f t="shared" si="791"/>
        <v>0</v>
      </c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>
        <f t="shared" si="792"/>
        <v>0</v>
      </c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>
        <f t="shared" si="793"/>
        <v>0</v>
      </c>
      <c r="ACI15" s="4">
        <f t="shared" si="794"/>
        <v>0</v>
      </c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>
        <f t="shared" si="795"/>
        <v>0</v>
      </c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>
        <f t="shared" si="796"/>
        <v>0</v>
      </c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>
        <f t="shared" si="797"/>
        <v>0</v>
      </c>
      <c r="ADW15" s="4">
        <f t="shared" si="798"/>
        <v>0</v>
      </c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>
        <f t="shared" si="799"/>
        <v>0</v>
      </c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>
        <f t="shared" si="800"/>
        <v>0</v>
      </c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>
        <f t="shared" si="801"/>
        <v>0</v>
      </c>
      <c r="AFK15" s="4">
        <f t="shared" si="802"/>
        <v>0</v>
      </c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>
        <f t="shared" si="803"/>
        <v>0</v>
      </c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>
        <f t="shared" si="804"/>
        <v>0</v>
      </c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>
        <f t="shared" si="805"/>
        <v>0</v>
      </c>
      <c r="AGY15" s="4">
        <f t="shared" si="806"/>
        <v>0</v>
      </c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>
        <f t="shared" si="807"/>
        <v>0</v>
      </c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>
        <f t="shared" si="808"/>
        <v>0</v>
      </c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>
        <f t="shared" si="809"/>
        <v>0</v>
      </c>
      <c r="AIM15" s="4">
        <f t="shared" si="810"/>
        <v>0</v>
      </c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>
        <f t="shared" si="811"/>
        <v>0</v>
      </c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>
        <f t="shared" si="812"/>
        <v>0</v>
      </c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>
        <f t="shared" si="813"/>
        <v>0</v>
      </c>
      <c r="AKA15" s="4">
        <f t="shared" si="814"/>
        <v>0</v>
      </c>
      <c r="AKB15" s="13">
        <f t="shared" si="815"/>
        <v>0</v>
      </c>
    </row>
    <row r="16" spans="1:965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719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720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721"/>
        <v>0</v>
      </c>
      <c r="AQ16" s="4">
        <f t="shared" si="722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723"/>
        <v>0</v>
      </c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>
        <f t="shared" si="724"/>
        <v>0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>
        <f t="shared" si="725"/>
        <v>0</v>
      </c>
      <c r="CE16" s="4">
        <f t="shared" si="726"/>
        <v>0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>
        <f t="shared" si="727"/>
        <v>0</v>
      </c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>
        <f t="shared" si="728"/>
        <v>0</v>
      </c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>
        <f t="shared" si="729"/>
        <v>0</v>
      </c>
      <c r="DS16" s="4">
        <f t="shared" si="730"/>
        <v>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f t="shared" si="731"/>
        <v>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>
        <f t="shared" si="732"/>
        <v>0</v>
      </c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>
        <f t="shared" si="733"/>
        <v>0</v>
      </c>
      <c r="FG16" s="4">
        <f t="shared" si="734"/>
        <v>0</v>
      </c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>
        <f t="shared" si="735"/>
        <v>0</v>
      </c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>
        <f t="shared" si="736"/>
        <v>0</v>
      </c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>
        <f t="shared" si="737"/>
        <v>0</v>
      </c>
      <c r="GU16" s="4">
        <f t="shared" si="738"/>
        <v>0</v>
      </c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>
        <f t="shared" si="739"/>
        <v>0</v>
      </c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>
        <f t="shared" si="740"/>
        <v>0</v>
      </c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>
        <f t="shared" si="741"/>
        <v>0</v>
      </c>
      <c r="II16" s="4">
        <f t="shared" si="742"/>
        <v>0</v>
      </c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>
        <f t="shared" si="743"/>
        <v>0</v>
      </c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>
        <f t="shared" si="744"/>
        <v>0</v>
      </c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>
        <f t="shared" si="745"/>
        <v>0</v>
      </c>
      <c r="JW16" s="4">
        <f t="shared" si="746"/>
        <v>0</v>
      </c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>
        <f t="shared" si="747"/>
        <v>0</v>
      </c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>
        <f t="shared" si="748"/>
        <v>0</v>
      </c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>
        <f t="shared" si="749"/>
        <v>0</v>
      </c>
      <c r="LK16" s="4">
        <f t="shared" si="750"/>
        <v>0</v>
      </c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>
        <f t="shared" si="751"/>
        <v>0</v>
      </c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>
        <f t="shared" si="752"/>
        <v>0</v>
      </c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>
        <f t="shared" si="753"/>
        <v>0</v>
      </c>
      <c r="MY16" s="4">
        <f t="shared" si="754"/>
        <v>0</v>
      </c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>
        <f t="shared" si="755"/>
        <v>0</v>
      </c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>
        <f t="shared" si="756"/>
        <v>0</v>
      </c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>
        <f t="shared" si="757"/>
        <v>0</v>
      </c>
      <c r="OM16" s="4">
        <f t="shared" si="758"/>
        <v>0</v>
      </c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>
        <f t="shared" si="759"/>
        <v>0</v>
      </c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>
        <f t="shared" si="760"/>
        <v>0</v>
      </c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>
        <f t="shared" si="761"/>
        <v>0</v>
      </c>
      <c r="QA16" s="4">
        <f t="shared" si="762"/>
        <v>0</v>
      </c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>
        <f t="shared" si="763"/>
        <v>0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>
        <f t="shared" si="764"/>
        <v>0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f t="shared" si="765"/>
        <v>0</v>
      </c>
      <c r="RO16" s="4">
        <f t="shared" si="766"/>
        <v>0</v>
      </c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f t="shared" si="767"/>
        <v>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>
        <f t="shared" si="768"/>
        <v>0</v>
      </c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>
        <f t="shared" si="769"/>
        <v>0</v>
      </c>
      <c r="TC16" s="4">
        <f t="shared" si="770"/>
        <v>0</v>
      </c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>
        <f t="shared" si="771"/>
        <v>0</v>
      </c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>
        <f t="shared" si="772"/>
        <v>0</v>
      </c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>
        <f t="shared" si="773"/>
        <v>0</v>
      </c>
      <c r="UQ16" s="4">
        <f t="shared" si="774"/>
        <v>0</v>
      </c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>
        <f t="shared" si="775"/>
        <v>0</v>
      </c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>
        <f t="shared" si="776"/>
        <v>0</v>
      </c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>
        <f t="shared" si="777"/>
        <v>0</v>
      </c>
      <c r="WE16" s="4">
        <f t="shared" si="778"/>
        <v>0</v>
      </c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>
        <f t="shared" si="779"/>
        <v>0</v>
      </c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>
        <f t="shared" si="780"/>
        <v>0</v>
      </c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>
        <f t="shared" si="781"/>
        <v>0</v>
      </c>
      <c r="XS16" s="4">
        <f t="shared" si="782"/>
        <v>0</v>
      </c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>
        <f t="shared" si="783"/>
        <v>0</v>
      </c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>
        <f t="shared" si="784"/>
        <v>0</v>
      </c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>
        <f t="shared" si="785"/>
        <v>0</v>
      </c>
      <c r="ZG16" s="4">
        <f t="shared" si="786"/>
        <v>0</v>
      </c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>
        <f t="shared" si="787"/>
        <v>0</v>
      </c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>
        <f t="shared" si="788"/>
        <v>0</v>
      </c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>
        <f t="shared" si="789"/>
        <v>0</v>
      </c>
      <c r="AAU16" s="4">
        <f t="shared" si="790"/>
        <v>0</v>
      </c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>
        <f t="shared" si="791"/>
        <v>0</v>
      </c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>
        <f t="shared" si="792"/>
        <v>0</v>
      </c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>
        <f t="shared" si="793"/>
        <v>0</v>
      </c>
      <c r="ACI16" s="4">
        <f t="shared" si="794"/>
        <v>0</v>
      </c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>
        <f t="shared" si="795"/>
        <v>0</v>
      </c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>
        <f t="shared" si="796"/>
        <v>0</v>
      </c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>
        <f t="shared" si="797"/>
        <v>0</v>
      </c>
      <c r="ADW16" s="4">
        <f t="shared" si="798"/>
        <v>0</v>
      </c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>
        <f t="shared" si="799"/>
        <v>0</v>
      </c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>
        <f t="shared" si="800"/>
        <v>0</v>
      </c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>
        <f t="shared" si="801"/>
        <v>0</v>
      </c>
      <c r="AFK16" s="4">
        <f t="shared" si="802"/>
        <v>0</v>
      </c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>
        <f t="shared" si="803"/>
        <v>0</v>
      </c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>
        <f t="shared" si="804"/>
        <v>0</v>
      </c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>
        <f t="shared" si="805"/>
        <v>0</v>
      </c>
      <c r="AGY16" s="4">
        <f t="shared" si="806"/>
        <v>0</v>
      </c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>
        <f t="shared" si="807"/>
        <v>0</v>
      </c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>
        <f t="shared" si="808"/>
        <v>0</v>
      </c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>
        <f t="shared" si="809"/>
        <v>0</v>
      </c>
      <c r="AIM16" s="4">
        <f t="shared" si="810"/>
        <v>0</v>
      </c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>
        <f t="shared" si="811"/>
        <v>0</v>
      </c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>
        <f t="shared" si="812"/>
        <v>0</v>
      </c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>
        <f t="shared" si="813"/>
        <v>0</v>
      </c>
      <c r="AKA16" s="4">
        <f t="shared" si="814"/>
        <v>0</v>
      </c>
      <c r="AKB16" s="13">
        <f t="shared" si="815"/>
        <v>0</v>
      </c>
    </row>
    <row r="17" spans="1:965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719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720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721"/>
        <v>0</v>
      </c>
      <c r="AQ17" s="4">
        <f t="shared" si="722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723"/>
        <v>0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>
        <f t="shared" si="724"/>
        <v>0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>
        <f t="shared" si="725"/>
        <v>0</v>
      </c>
      <c r="CE17" s="4">
        <f t="shared" si="726"/>
        <v>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>
        <f t="shared" si="727"/>
        <v>0</v>
      </c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>
        <f t="shared" si="728"/>
        <v>0</v>
      </c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>
        <f t="shared" si="729"/>
        <v>0</v>
      </c>
      <c r="DS17" s="4">
        <f t="shared" si="730"/>
        <v>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f t="shared" si="731"/>
        <v>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>
        <f t="shared" si="732"/>
        <v>0</v>
      </c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>
        <f t="shared" si="733"/>
        <v>0</v>
      </c>
      <c r="FG17" s="4">
        <f t="shared" si="734"/>
        <v>0</v>
      </c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>
        <f t="shared" si="735"/>
        <v>0</v>
      </c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>
        <f t="shared" si="736"/>
        <v>0</v>
      </c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>
        <f t="shared" si="737"/>
        <v>0</v>
      </c>
      <c r="GU17" s="4">
        <f t="shared" si="738"/>
        <v>0</v>
      </c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>
        <f t="shared" si="739"/>
        <v>0</v>
      </c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>
        <f t="shared" si="740"/>
        <v>0</v>
      </c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>
        <f t="shared" si="741"/>
        <v>0</v>
      </c>
      <c r="II17" s="4">
        <f t="shared" si="742"/>
        <v>0</v>
      </c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>
        <f t="shared" si="743"/>
        <v>0</v>
      </c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>
        <f t="shared" si="744"/>
        <v>0</v>
      </c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>
        <f t="shared" si="745"/>
        <v>0</v>
      </c>
      <c r="JW17" s="4">
        <f t="shared" si="746"/>
        <v>0</v>
      </c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>
        <f t="shared" si="747"/>
        <v>0</v>
      </c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>
        <f t="shared" si="748"/>
        <v>0</v>
      </c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>
        <f t="shared" si="749"/>
        <v>0</v>
      </c>
      <c r="LK17" s="4">
        <f t="shared" si="750"/>
        <v>0</v>
      </c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>
        <f t="shared" si="751"/>
        <v>0</v>
      </c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>
        <f t="shared" si="752"/>
        <v>0</v>
      </c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>
        <f t="shared" si="753"/>
        <v>0</v>
      </c>
      <c r="MY17" s="4">
        <f t="shared" si="754"/>
        <v>0</v>
      </c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>
        <f t="shared" si="755"/>
        <v>0</v>
      </c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>
        <f t="shared" si="756"/>
        <v>0</v>
      </c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>
        <f t="shared" si="757"/>
        <v>0</v>
      </c>
      <c r="OM17" s="4">
        <f t="shared" si="758"/>
        <v>0</v>
      </c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>
        <f t="shared" si="759"/>
        <v>0</v>
      </c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>
        <f t="shared" si="760"/>
        <v>0</v>
      </c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>
        <f t="shared" si="761"/>
        <v>0</v>
      </c>
      <c r="QA17" s="4">
        <f t="shared" si="762"/>
        <v>0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>
        <f t="shared" si="763"/>
        <v>0</v>
      </c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>
        <f t="shared" si="764"/>
        <v>0</v>
      </c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>
        <f t="shared" si="765"/>
        <v>0</v>
      </c>
      <c r="RO17" s="4">
        <f t="shared" si="766"/>
        <v>0</v>
      </c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f t="shared" si="767"/>
        <v>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>
        <f t="shared" si="768"/>
        <v>0</v>
      </c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>
        <f t="shared" si="769"/>
        <v>0</v>
      </c>
      <c r="TC17" s="4">
        <f t="shared" si="770"/>
        <v>0</v>
      </c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>
        <f t="shared" si="771"/>
        <v>0</v>
      </c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f t="shared" si="772"/>
        <v>0</v>
      </c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f t="shared" si="773"/>
        <v>0</v>
      </c>
      <c r="UQ17" s="4">
        <f t="shared" si="774"/>
        <v>0</v>
      </c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>
        <f t="shared" si="775"/>
        <v>0</v>
      </c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>
        <f t="shared" si="776"/>
        <v>0</v>
      </c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>
        <f t="shared" si="777"/>
        <v>0</v>
      </c>
      <c r="WE17" s="4">
        <f t="shared" si="778"/>
        <v>0</v>
      </c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>
        <f t="shared" si="779"/>
        <v>0</v>
      </c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>
        <f t="shared" si="780"/>
        <v>0</v>
      </c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>
        <f t="shared" si="781"/>
        <v>0</v>
      </c>
      <c r="XS17" s="4">
        <f t="shared" si="782"/>
        <v>0</v>
      </c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>
        <f t="shared" si="783"/>
        <v>0</v>
      </c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>
        <f t="shared" si="784"/>
        <v>0</v>
      </c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>
        <f t="shared" si="785"/>
        <v>0</v>
      </c>
      <c r="ZG17" s="4">
        <f t="shared" si="786"/>
        <v>0</v>
      </c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>
        <f t="shared" si="787"/>
        <v>0</v>
      </c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>
        <f t="shared" si="788"/>
        <v>0</v>
      </c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>
        <f t="shared" si="789"/>
        <v>0</v>
      </c>
      <c r="AAU17" s="4">
        <f t="shared" si="790"/>
        <v>0</v>
      </c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>
        <f t="shared" si="791"/>
        <v>0</v>
      </c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>
        <f t="shared" si="792"/>
        <v>0</v>
      </c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>
        <f t="shared" si="793"/>
        <v>0</v>
      </c>
      <c r="ACI17" s="4">
        <f t="shared" si="794"/>
        <v>0</v>
      </c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>
        <f t="shared" si="795"/>
        <v>0</v>
      </c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>
        <f t="shared" si="796"/>
        <v>0</v>
      </c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>
        <f t="shared" si="797"/>
        <v>0</v>
      </c>
      <c r="ADW17" s="4">
        <f t="shared" si="798"/>
        <v>0</v>
      </c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>
        <f t="shared" si="799"/>
        <v>0</v>
      </c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>
        <f t="shared" si="800"/>
        <v>0</v>
      </c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>
        <f t="shared" si="801"/>
        <v>0</v>
      </c>
      <c r="AFK17" s="4">
        <f t="shared" si="802"/>
        <v>0</v>
      </c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>
        <f t="shared" si="803"/>
        <v>0</v>
      </c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>
        <f t="shared" si="804"/>
        <v>0</v>
      </c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>
        <f t="shared" si="805"/>
        <v>0</v>
      </c>
      <c r="AGY17" s="4">
        <f t="shared" si="806"/>
        <v>0</v>
      </c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>
        <f t="shared" si="807"/>
        <v>0</v>
      </c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>
        <f t="shared" si="808"/>
        <v>0</v>
      </c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>
        <f t="shared" si="809"/>
        <v>0</v>
      </c>
      <c r="AIM17" s="4">
        <f t="shared" si="810"/>
        <v>0</v>
      </c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>
        <f t="shared" si="811"/>
        <v>0</v>
      </c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>
        <f t="shared" si="812"/>
        <v>0</v>
      </c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>
        <f t="shared" si="813"/>
        <v>0</v>
      </c>
      <c r="AKA17" s="4">
        <f t="shared" si="814"/>
        <v>0</v>
      </c>
      <c r="AKB17" s="13">
        <f t="shared" si="815"/>
        <v>0</v>
      </c>
    </row>
    <row r="18" spans="1:965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719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720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721"/>
        <v>0</v>
      </c>
      <c r="AQ18" s="4">
        <f t="shared" si="722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723"/>
        <v>0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>
        <f t="shared" si="724"/>
        <v>0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>
        <f t="shared" si="725"/>
        <v>0</v>
      </c>
      <c r="CE18" s="4">
        <f t="shared" si="726"/>
        <v>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>
        <f t="shared" si="727"/>
        <v>0</v>
      </c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>
        <f t="shared" si="728"/>
        <v>0</v>
      </c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>
        <f t="shared" si="729"/>
        <v>0</v>
      </c>
      <c r="DS18" s="4">
        <f t="shared" si="730"/>
        <v>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f t="shared" si="731"/>
        <v>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>
        <f t="shared" si="732"/>
        <v>0</v>
      </c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>
        <f t="shared" si="733"/>
        <v>0</v>
      </c>
      <c r="FG18" s="4">
        <f t="shared" si="734"/>
        <v>0</v>
      </c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>
        <f t="shared" si="735"/>
        <v>0</v>
      </c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>
        <f t="shared" si="736"/>
        <v>0</v>
      </c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>
        <f t="shared" si="737"/>
        <v>0</v>
      </c>
      <c r="GU18" s="4">
        <f t="shared" si="738"/>
        <v>0</v>
      </c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>
        <f t="shared" si="739"/>
        <v>0</v>
      </c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>
        <f t="shared" si="740"/>
        <v>0</v>
      </c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>
        <f t="shared" si="741"/>
        <v>0</v>
      </c>
      <c r="II18" s="4">
        <f t="shared" si="742"/>
        <v>0</v>
      </c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>
        <f t="shared" si="743"/>
        <v>0</v>
      </c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>
        <f t="shared" si="744"/>
        <v>0</v>
      </c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>
        <f t="shared" si="745"/>
        <v>0</v>
      </c>
      <c r="JW18" s="4">
        <f t="shared" si="746"/>
        <v>0</v>
      </c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>
        <f t="shared" si="747"/>
        <v>0</v>
      </c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>
        <f t="shared" si="748"/>
        <v>0</v>
      </c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>
        <f t="shared" si="749"/>
        <v>0</v>
      </c>
      <c r="LK18" s="4">
        <f t="shared" si="750"/>
        <v>0</v>
      </c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>
        <f t="shared" si="751"/>
        <v>0</v>
      </c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>
        <f t="shared" si="752"/>
        <v>0</v>
      </c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>
        <f t="shared" si="753"/>
        <v>0</v>
      </c>
      <c r="MY18" s="4">
        <f t="shared" si="754"/>
        <v>0</v>
      </c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>
        <f t="shared" si="755"/>
        <v>0</v>
      </c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>
        <f t="shared" si="756"/>
        <v>0</v>
      </c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>
        <f t="shared" si="757"/>
        <v>0</v>
      </c>
      <c r="OM18" s="4">
        <f t="shared" si="758"/>
        <v>0</v>
      </c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>
        <f t="shared" si="759"/>
        <v>0</v>
      </c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>
        <f t="shared" si="760"/>
        <v>0</v>
      </c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>
        <f t="shared" si="761"/>
        <v>0</v>
      </c>
      <c r="QA18" s="4">
        <f t="shared" si="762"/>
        <v>0</v>
      </c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>
        <f t="shared" si="763"/>
        <v>0</v>
      </c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>
        <f t="shared" si="764"/>
        <v>0</v>
      </c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>
        <f t="shared" si="765"/>
        <v>0</v>
      </c>
      <c r="RO18" s="4">
        <f t="shared" si="766"/>
        <v>0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>
        <f t="shared" si="767"/>
        <v>0</v>
      </c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>
        <f t="shared" si="768"/>
        <v>0</v>
      </c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>
        <f t="shared" si="769"/>
        <v>0</v>
      </c>
      <c r="TC18" s="4">
        <f t="shared" si="770"/>
        <v>0</v>
      </c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>
        <f t="shared" si="771"/>
        <v>0</v>
      </c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>
        <f t="shared" si="772"/>
        <v>0</v>
      </c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>
        <f t="shared" si="773"/>
        <v>0</v>
      </c>
      <c r="UQ18" s="4">
        <f t="shared" si="774"/>
        <v>0</v>
      </c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>
        <f t="shared" si="775"/>
        <v>0</v>
      </c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>
        <f t="shared" si="776"/>
        <v>0</v>
      </c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>
        <f t="shared" si="777"/>
        <v>0</v>
      </c>
      <c r="WE18" s="4">
        <f t="shared" si="778"/>
        <v>0</v>
      </c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>
        <f t="shared" si="779"/>
        <v>0</v>
      </c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>
        <f t="shared" si="780"/>
        <v>0</v>
      </c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>
        <f t="shared" si="781"/>
        <v>0</v>
      </c>
      <c r="XS18" s="4">
        <f t="shared" si="782"/>
        <v>0</v>
      </c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>
        <f t="shared" si="783"/>
        <v>0</v>
      </c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>
        <f t="shared" si="784"/>
        <v>0</v>
      </c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>
        <f t="shared" si="785"/>
        <v>0</v>
      </c>
      <c r="ZG18" s="4">
        <f t="shared" si="786"/>
        <v>0</v>
      </c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>
        <f t="shared" si="787"/>
        <v>0</v>
      </c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>
        <f t="shared" si="788"/>
        <v>0</v>
      </c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>
        <f t="shared" si="789"/>
        <v>0</v>
      </c>
      <c r="AAU18" s="4">
        <f t="shared" si="790"/>
        <v>0</v>
      </c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>
        <f t="shared" si="791"/>
        <v>0</v>
      </c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>
        <f t="shared" si="792"/>
        <v>0</v>
      </c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>
        <f t="shared" si="793"/>
        <v>0</v>
      </c>
      <c r="ACI18" s="4">
        <f t="shared" si="794"/>
        <v>0</v>
      </c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>
        <f t="shared" si="795"/>
        <v>0</v>
      </c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>
        <f t="shared" si="796"/>
        <v>0</v>
      </c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>
        <f t="shared" si="797"/>
        <v>0</v>
      </c>
      <c r="ADW18" s="4">
        <f t="shared" si="798"/>
        <v>0</v>
      </c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>
        <f t="shared" si="799"/>
        <v>0</v>
      </c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>
        <f t="shared" si="800"/>
        <v>0</v>
      </c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>
        <f t="shared" si="801"/>
        <v>0</v>
      </c>
      <c r="AFK18" s="4">
        <f t="shared" si="802"/>
        <v>0</v>
      </c>
      <c r="AFL18" s="4">
        <v>264250</v>
      </c>
      <c r="AFM18" s="4">
        <v>264250</v>
      </c>
      <c r="AFN18" s="4">
        <v>264250</v>
      </c>
      <c r="AFO18" s="4">
        <v>264250</v>
      </c>
      <c r="AFP18" s="4">
        <v>264250</v>
      </c>
      <c r="AFQ18" s="4">
        <v>264250</v>
      </c>
      <c r="AFR18" s="37">
        <f>79320+277470</f>
        <v>356790</v>
      </c>
      <c r="AFS18" s="4">
        <v>277470</v>
      </c>
      <c r="AFT18" s="4">
        <v>277470</v>
      </c>
      <c r="AFU18" s="4">
        <v>277470</v>
      </c>
      <c r="AFV18" s="4">
        <v>277470</v>
      </c>
      <c r="AFW18" s="4">
        <v>277470</v>
      </c>
      <c r="AFX18" s="4">
        <f t="shared" si="803"/>
        <v>3329640</v>
      </c>
      <c r="AFY18" s="4">
        <v>8250</v>
      </c>
      <c r="AFZ18" s="4">
        <v>8250</v>
      </c>
      <c r="AGA18" s="4">
        <v>8250</v>
      </c>
      <c r="AGB18" s="4">
        <v>8250</v>
      </c>
      <c r="AGC18" s="4">
        <v>8250</v>
      </c>
      <c r="AGD18" s="4">
        <v>8250</v>
      </c>
      <c r="AGE18" s="4">
        <f>778.18+8250</f>
        <v>9028.18</v>
      </c>
      <c r="AGF18" s="4">
        <v>8250</v>
      </c>
      <c r="AGG18" s="4">
        <v>8250</v>
      </c>
      <c r="AGH18" s="4">
        <v>8250</v>
      </c>
      <c r="AGI18" s="4">
        <v>8250</v>
      </c>
      <c r="AGJ18" s="4">
        <f>337.37+8250</f>
        <v>8587.3700000000008</v>
      </c>
      <c r="AGK18" s="4">
        <f t="shared" si="804"/>
        <v>100115.54999999999</v>
      </c>
      <c r="AGL18" s="4">
        <v>5771</v>
      </c>
      <c r="AGM18" s="4">
        <v>6489</v>
      </c>
      <c r="AGN18" s="4">
        <v>6489</v>
      </c>
      <c r="AGO18" s="4">
        <v>6489</v>
      </c>
      <c r="AGP18" s="4">
        <v>6489</v>
      </c>
      <c r="AGQ18" s="4">
        <v>6489</v>
      </c>
      <c r="AGR18" s="37">
        <f>1920+6815</f>
        <v>8735</v>
      </c>
      <c r="AGS18" s="4">
        <v>6815</v>
      </c>
      <c r="AGT18" s="4">
        <v>6815</v>
      </c>
      <c r="AGU18" s="4">
        <v>6815</v>
      </c>
      <c r="AGV18" s="4">
        <v>6815</v>
      </c>
      <c r="AGW18" s="4">
        <v>6815</v>
      </c>
      <c r="AGX18" s="4">
        <f t="shared" si="805"/>
        <v>81026</v>
      </c>
      <c r="AGY18" s="4">
        <f t="shared" si="806"/>
        <v>3510781.55</v>
      </c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>
        <f t="shared" si="807"/>
        <v>0</v>
      </c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>
        <f t="shared" si="808"/>
        <v>0</v>
      </c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>
        <f t="shared" si="809"/>
        <v>0</v>
      </c>
      <c r="AIM18" s="4">
        <f t="shared" si="810"/>
        <v>0</v>
      </c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>
        <f t="shared" si="811"/>
        <v>0</v>
      </c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>
        <f t="shared" si="812"/>
        <v>0</v>
      </c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>
        <f t="shared" si="813"/>
        <v>0</v>
      </c>
      <c r="AKA18" s="4">
        <f t="shared" si="814"/>
        <v>0</v>
      </c>
      <c r="AKB18" s="13">
        <f t="shared" si="815"/>
        <v>3510781.55</v>
      </c>
    </row>
    <row r="19" spans="1:965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719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720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721"/>
        <v>0</v>
      </c>
      <c r="AQ19" s="4">
        <f t="shared" si="722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723"/>
        <v>0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>
        <f t="shared" si="724"/>
        <v>0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>
        <f t="shared" si="725"/>
        <v>0</v>
      </c>
      <c r="CE19" s="4">
        <f t="shared" si="726"/>
        <v>0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>
        <f t="shared" si="727"/>
        <v>0</v>
      </c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>
        <f t="shared" si="728"/>
        <v>0</v>
      </c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>
        <f t="shared" si="729"/>
        <v>0</v>
      </c>
      <c r="DS19" s="4">
        <f t="shared" si="730"/>
        <v>0</v>
      </c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>
        <f t="shared" si="731"/>
        <v>0</v>
      </c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>
        <f t="shared" si="732"/>
        <v>0</v>
      </c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>
        <f t="shared" si="733"/>
        <v>0</v>
      </c>
      <c r="FG19" s="4">
        <f t="shared" si="734"/>
        <v>0</v>
      </c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>
        <f t="shared" si="735"/>
        <v>0</v>
      </c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>
        <f t="shared" si="736"/>
        <v>0</v>
      </c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>
        <f t="shared" si="737"/>
        <v>0</v>
      </c>
      <c r="GU19" s="4">
        <f t="shared" si="738"/>
        <v>0</v>
      </c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>
        <f t="shared" si="739"/>
        <v>0</v>
      </c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>
        <f t="shared" si="740"/>
        <v>0</v>
      </c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>
        <f t="shared" si="741"/>
        <v>0</v>
      </c>
      <c r="II19" s="4">
        <f t="shared" si="742"/>
        <v>0</v>
      </c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>
        <f t="shared" si="743"/>
        <v>0</v>
      </c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>
        <f t="shared" si="744"/>
        <v>0</v>
      </c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>
        <f t="shared" si="745"/>
        <v>0</v>
      </c>
      <c r="JW19" s="4">
        <f t="shared" si="746"/>
        <v>0</v>
      </c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>
        <f t="shared" si="747"/>
        <v>0</v>
      </c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>
        <f t="shared" si="748"/>
        <v>0</v>
      </c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>
        <f t="shared" si="749"/>
        <v>0</v>
      </c>
      <c r="LK19" s="4">
        <f t="shared" si="750"/>
        <v>0</v>
      </c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>
        <f t="shared" si="751"/>
        <v>0</v>
      </c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>
        <f t="shared" si="752"/>
        <v>0</v>
      </c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>
        <f t="shared" si="753"/>
        <v>0</v>
      </c>
      <c r="MY19" s="4">
        <f t="shared" si="754"/>
        <v>0</v>
      </c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>
        <f t="shared" si="755"/>
        <v>0</v>
      </c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>
        <f t="shared" si="756"/>
        <v>0</v>
      </c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>
        <f t="shared" si="757"/>
        <v>0</v>
      </c>
      <c r="OM19" s="4">
        <f t="shared" si="758"/>
        <v>0</v>
      </c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>
        <f t="shared" si="759"/>
        <v>0</v>
      </c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>
        <f t="shared" si="760"/>
        <v>0</v>
      </c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>
        <f t="shared" si="761"/>
        <v>0</v>
      </c>
      <c r="QA19" s="4">
        <f t="shared" si="762"/>
        <v>0</v>
      </c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>
        <f t="shared" si="763"/>
        <v>0</v>
      </c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>
        <f t="shared" si="764"/>
        <v>0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>
        <f t="shared" si="765"/>
        <v>0</v>
      </c>
      <c r="RO19" s="4">
        <f t="shared" si="766"/>
        <v>0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>
        <f t="shared" si="767"/>
        <v>0</v>
      </c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>
        <f t="shared" si="768"/>
        <v>0</v>
      </c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>
        <f t="shared" si="769"/>
        <v>0</v>
      </c>
      <c r="TC19" s="4">
        <f t="shared" si="770"/>
        <v>0</v>
      </c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>
        <f t="shared" si="771"/>
        <v>0</v>
      </c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>
        <f t="shared" si="772"/>
        <v>0</v>
      </c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>
        <f t="shared" si="773"/>
        <v>0</v>
      </c>
      <c r="UQ19" s="4">
        <f t="shared" si="774"/>
        <v>0</v>
      </c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>
        <f t="shared" si="775"/>
        <v>0</v>
      </c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>
        <f t="shared" si="776"/>
        <v>0</v>
      </c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>
        <f t="shared" si="777"/>
        <v>0</v>
      </c>
      <c r="WE19" s="4">
        <f t="shared" si="778"/>
        <v>0</v>
      </c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>
        <f t="shared" si="779"/>
        <v>0</v>
      </c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>
        <f t="shared" si="780"/>
        <v>0</v>
      </c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>
        <f t="shared" si="781"/>
        <v>0</v>
      </c>
      <c r="XS19" s="4">
        <f t="shared" si="782"/>
        <v>0</v>
      </c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>
        <f t="shared" si="783"/>
        <v>0</v>
      </c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>
        <f t="shared" si="784"/>
        <v>0</v>
      </c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>
        <f t="shared" si="785"/>
        <v>0</v>
      </c>
      <c r="ZG19" s="4">
        <f t="shared" si="786"/>
        <v>0</v>
      </c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>
        <f t="shared" si="787"/>
        <v>0</v>
      </c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>
        <f t="shared" si="788"/>
        <v>0</v>
      </c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>
        <f t="shared" si="789"/>
        <v>0</v>
      </c>
      <c r="AAU19" s="4">
        <f t="shared" si="790"/>
        <v>0</v>
      </c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>
        <f t="shared" si="791"/>
        <v>0</v>
      </c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>
        <f t="shared" si="792"/>
        <v>0</v>
      </c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>
        <f t="shared" si="793"/>
        <v>0</v>
      </c>
      <c r="ACI19" s="4">
        <f t="shared" si="794"/>
        <v>0</v>
      </c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>
        <f t="shared" si="795"/>
        <v>0</v>
      </c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>
        <f t="shared" si="796"/>
        <v>0</v>
      </c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>
        <f t="shared" si="797"/>
        <v>0</v>
      </c>
      <c r="ADW19" s="4">
        <f t="shared" si="798"/>
        <v>0</v>
      </c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>
        <f t="shared" si="799"/>
        <v>0</v>
      </c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>
        <f t="shared" si="800"/>
        <v>0</v>
      </c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>
        <f t="shared" si="801"/>
        <v>0</v>
      </c>
      <c r="AFK19" s="4">
        <f t="shared" si="802"/>
        <v>0</v>
      </c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>
        <f t="shared" si="803"/>
        <v>0</v>
      </c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>
        <f t="shared" si="804"/>
        <v>0</v>
      </c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>
        <f t="shared" si="805"/>
        <v>0</v>
      </c>
      <c r="AGY19" s="4">
        <f t="shared" si="806"/>
        <v>0</v>
      </c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>
        <f t="shared" si="807"/>
        <v>0</v>
      </c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>
        <f t="shared" si="808"/>
        <v>0</v>
      </c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>
        <f t="shared" si="809"/>
        <v>0</v>
      </c>
      <c r="AIM19" s="4">
        <f t="shared" si="810"/>
        <v>0</v>
      </c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>
        <f t="shared" si="811"/>
        <v>0</v>
      </c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>
        <f t="shared" si="812"/>
        <v>0</v>
      </c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>
        <f t="shared" si="813"/>
        <v>0</v>
      </c>
      <c r="AKA19" s="4">
        <f t="shared" si="814"/>
        <v>0</v>
      </c>
      <c r="AKB19" s="13">
        <f t="shared" si="815"/>
        <v>0</v>
      </c>
    </row>
    <row r="20" spans="1:965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719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720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721"/>
        <v>0</v>
      </c>
      <c r="AQ20" s="4">
        <f t="shared" si="722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723"/>
        <v>0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>
        <f t="shared" si="724"/>
        <v>0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>
        <f t="shared" si="725"/>
        <v>0</v>
      </c>
      <c r="CE20" s="4">
        <f t="shared" si="726"/>
        <v>0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>
        <f t="shared" si="727"/>
        <v>0</v>
      </c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>
        <f t="shared" si="728"/>
        <v>0</v>
      </c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>
        <f t="shared" si="729"/>
        <v>0</v>
      </c>
      <c r="DS20" s="4">
        <f t="shared" si="730"/>
        <v>0</v>
      </c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>
        <f t="shared" si="731"/>
        <v>0</v>
      </c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>
        <f t="shared" si="732"/>
        <v>0</v>
      </c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>
        <f t="shared" si="733"/>
        <v>0</v>
      </c>
      <c r="FG20" s="4">
        <f t="shared" si="734"/>
        <v>0</v>
      </c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>
        <f t="shared" si="735"/>
        <v>0</v>
      </c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>
        <f t="shared" si="736"/>
        <v>0</v>
      </c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>
        <f t="shared" si="737"/>
        <v>0</v>
      </c>
      <c r="GU20" s="4">
        <f t="shared" si="738"/>
        <v>0</v>
      </c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>
        <f t="shared" si="739"/>
        <v>0</v>
      </c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>
        <f t="shared" si="740"/>
        <v>0</v>
      </c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>
        <f t="shared" si="741"/>
        <v>0</v>
      </c>
      <c r="II20" s="4">
        <f t="shared" si="742"/>
        <v>0</v>
      </c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>
        <f t="shared" si="743"/>
        <v>0</v>
      </c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>
        <f t="shared" si="744"/>
        <v>0</v>
      </c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>
        <f t="shared" si="745"/>
        <v>0</v>
      </c>
      <c r="JW20" s="4">
        <f t="shared" si="746"/>
        <v>0</v>
      </c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>
        <f t="shared" si="747"/>
        <v>0</v>
      </c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>
        <f t="shared" si="748"/>
        <v>0</v>
      </c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>
        <f t="shared" si="749"/>
        <v>0</v>
      </c>
      <c r="LK20" s="4">
        <f t="shared" si="750"/>
        <v>0</v>
      </c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>
        <f t="shared" si="751"/>
        <v>0</v>
      </c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>
        <f t="shared" si="752"/>
        <v>0</v>
      </c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>
        <f t="shared" si="753"/>
        <v>0</v>
      </c>
      <c r="MY20" s="4">
        <f t="shared" si="754"/>
        <v>0</v>
      </c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>
        <f t="shared" si="755"/>
        <v>0</v>
      </c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>
        <f t="shared" si="756"/>
        <v>0</v>
      </c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>
        <f t="shared" si="757"/>
        <v>0</v>
      </c>
      <c r="OM20" s="4">
        <f t="shared" si="758"/>
        <v>0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>
        <f t="shared" si="759"/>
        <v>0</v>
      </c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>
        <f t="shared" si="760"/>
        <v>0</v>
      </c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>
        <f t="shared" si="761"/>
        <v>0</v>
      </c>
      <c r="QA20" s="4">
        <f t="shared" si="762"/>
        <v>0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>
        <f t="shared" si="763"/>
        <v>0</v>
      </c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f t="shared" si="764"/>
        <v>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>
        <f t="shared" si="765"/>
        <v>0</v>
      </c>
      <c r="RO20" s="4">
        <f t="shared" si="766"/>
        <v>0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>
        <f t="shared" si="767"/>
        <v>0</v>
      </c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>
        <f t="shared" si="768"/>
        <v>0</v>
      </c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>
        <f t="shared" si="769"/>
        <v>0</v>
      </c>
      <c r="TC20" s="4">
        <f t="shared" si="770"/>
        <v>0</v>
      </c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>
        <f t="shared" si="771"/>
        <v>0</v>
      </c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>
        <f t="shared" si="772"/>
        <v>0</v>
      </c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>
        <f t="shared" si="773"/>
        <v>0</v>
      </c>
      <c r="UQ20" s="4">
        <f t="shared" si="774"/>
        <v>0</v>
      </c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>
        <f t="shared" si="775"/>
        <v>0</v>
      </c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>
        <f t="shared" si="776"/>
        <v>0</v>
      </c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>
        <f t="shared" si="777"/>
        <v>0</v>
      </c>
      <c r="WE20" s="4">
        <f t="shared" si="778"/>
        <v>0</v>
      </c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>
        <f t="shared" si="779"/>
        <v>0</v>
      </c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>
        <f t="shared" si="780"/>
        <v>0</v>
      </c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>
        <f t="shared" si="781"/>
        <v>0</v>
      </c>
      <c r="XS20" s="4">
        <f t="shared" si="782"/>
        <v>0</v>
      </c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>
        <f t="shared" si="783"/>
        <v>0</v>
      </c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>
        <f t="shared" si="784"/>
        <v>0</v>
      </c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>
        <f t="shared" si="785"/>
        <v>0</v>
      </c>
      <c r="ZG20" s="4">
        <f t="shared" si="786"/>
        <v>0</v>
      </c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>
        <f t="shared" si="787"/>
        <v>0</v>
      </c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>
        <f t="shared" si="788"/>
        <v>0</v>
      </c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>
        <f t="shared" si="789"/>
        <v>0</v>
      </c>
      <c r="AAU20" s="4">
        <f t="shared" si="790"/>
        <v>0</v>
      </c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>
        <f t="shared" si="791"/>
        <v>0</v>
      </c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>
        <f t="shared" si="792"/>
        <v>0</v>
      </c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>
        <f t="shared" si="793"/>
        <v>0</v>
      </c>
      <c r="ACI20" s="4">
        <f t="shared" si="794"/>
        <v>0</v>
      </c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>
        <f t="shared" si="795"/>
        <v>0</v>
      </c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>
        <f t="shared" si="796"/>
        <v>0</v>
      </c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>
        <f t="shared" si="797"/>
        <v>0</v>
      </c>
      <c r="ADW20" s="4">
        <f t="shared" si="798"/>
        <v>0</v>
      </c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>
        <f t="shared" si="799"/>
        <v>0</v>
      </c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>
        <f t="shared" si="800"/>
        <v>0</v>
      </c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>
        <f t="shared" si="801"/>
        <v>0</v>
      </c>
      <c r="AFK20" s="4">
        <f t="shared" si="802"/>
        <v>0</v>
      </c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>
        <f t="shared" si="803"/>
        <v>0</v>
      </c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>
        <f t="shared" si="804"/>
        <v>0</v>
      </c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>
        <f t="shared" si="805"/>
        <v>0</v>
      </c>
      <c r="AGY20" s="4">
        <f t="shared" si="806"/>
        <v>0</v>
      </c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>
        <f t="shared" si="807"/>
        <v>0</v>
      </c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>
        <f t="shared" si="808"/>
        <v>0</v>
      </c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>
        <f t="shared" si="809"/>
        <v>0</v>
      </c>
      <c r="AIM20" s="4">
        <f t="shared" si="810"/>
        <v>0</v>
      </c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>
        <f t="shared" si="811"/>
        <v>0</v>
      </c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>
        <f t="shared" si="812"/>
        <v>0</v>
      </c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>
        <f t="shared" si="813"/>
        <v>0</v>
      </c>
      <c r="AKA20" s="4">
        <f t="shared" si="814"/>
        <v>0</v>
      </c>
      <c r="AKB20" s="13">
        <f t="shared" si="815"/>
        <v>0</v>
      </c>
    </row>
    <row r="21" spans="1:965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719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720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721"/>
        <v>0</v>
      </c>
      <c r="AQ21" s="4">
        <f t="shared" si="722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723"/>
        <v>0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>
        <f t="shared" si="724"/>
        <v>0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>
        <f t="shared" si="725"/>
        <v>0</v>
      </c>
      <c r="CE21" s="4">
        <f t="shared" si="726"/>
        <v>0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>
        <f t="shared" si="727"/>
        <v>0</v>
      </c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>
        <f t="shared" si="728"/>
        <v>0</v>
      </c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>
        <f t="shared" si="729"/>
        <v>0</v>
      </c>
      <c r="DS21" s="4">
        <f t="shared" si="730"/>
        <v>0</v>
      </c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>
        <f t="shared" si="731"/>
        <v>0</v>
      </c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>
        <f t="shared" si="732"/>
        <v>0</v>
      </c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>
        <f t="shared" si="733"/>
        <v>0</v>
      </c>
      <c r="FG21" s="4">
        <f t="shared" si="734"/>
        <v>0</v>
      </c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>
        <f t="shared" si="735"/>
        <v>0</v>
      </c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>
        <f t="shared" si="736"/>
        <v>0</v>
      </c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>
        <f t="shared" si="737"/>
        <v>0</v>
      </c>
      <c r="GU21" s="4">
        <f t="shared" si="738"/>
        <v>0</v>
      </c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>
        <f t="shared" si="739"/>
        <v>0</v>
      </c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>
        <f t="shared" si="740"/>
        <v>0</v>
      </c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>
        <f t="shared" si="741"/>
        <v>0</v>
      </c>
      <c r="II21" s="4">
        <f t="shared" si="742"/>
        <v>0</v>
      </c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>
        <f t="shared" si="743"/>
        <v>0</v>
      </c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>
        <f t="shared" si="744"/>
        <v>0</v>
      </c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>
        <f t="shared" si="745"/>
        <v>0</v>
      </c>
      <c r="JW21" s="4">
        <f t="shared" si="746"/>
        <v>0</v>
      </c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>
        <f t="shared" si="747"/>
        <v>0</v>
      </c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>
        <f t="shared" si="748"/>
        <v>0</v>
      </c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>
        <f t="shared" si="749"/>
        <v>0</v>
      </c>
      <c r="LK21" s="4">
        <f t="shared" si="750"/>
        <v>0</v>
      </c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>
        <f t="shared" si="751"/>
        <v>0</v>
      </c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>
        <f t="shared" si="752"/>
        <v>0</v>
      </c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>
        <f t="shared" si="753"/>
        <v>0</v>
      </c>
      <c r="MY21" s="4">
        <f t="shared" si="754"/>
        <v>0</v>
      </c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>
        <f t="shared" si="755"/>
        <v>0</v>
      </c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>
        <f t="shared" si="756"/>
        <v>0</v>
      </c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>
        <f t="shared" si="757"/>
        <v>0</v>
      </c>
      <c r="OM21" s="4">
        <f t="shared" si="758"/>
        <v>0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>
        <f t="shared" si="759"/>
        <v>0</v>
      </c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>
        <f t="shared" si="760"/>
        <v>0</v>
      </c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>
        <f t="shared" si="761"/>
        <v>0</v>
      </c>
      <c r="QA21" s="4">
        <f t="shared" si="762"/>
        <v>0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>
        <f t="shared" si="763"/>
        <v>0</v>
      </c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f t="shared" si="764"/>
        <v>0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>
        <f t="shared" si="765"/>
        <v>0</v>
      </c>
      <c r="RO21" s="4">
        <f t="shared" si="766"/>
        <v>0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>
        <f t="shared" si="767"/>
        <v>0</v>
      </c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>
        <f t="shared" si="768"/>
        <v>0</v>
      </c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>
        <f t="shared" si="769"/>
        <v>0</v>
      </c>
      <c r="TC21" s="4">
        <f t="shared" si="770"/>
        <v>0</v>
      </c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>
        <f t="shared" si="771"/>
        <v>0</v>
      </c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>
        <f t="shared" si="772"/>
        <v>0</v>
      </c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>
        <f t="shared" si="773"/>
        <v>0</v>
      </c>
      <c r="UQ21" s="4">
        <f t="shared" si="774"/>
        <v>0</v>
      </c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>
        <f t="shared" si="775"/>
        <v>0</v>
      </c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>
        <f t="shared" si="776"/>
        <v>0</v>
      </c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>
        <f t="shared" si="777"/>
        <v>0</v>
      </c>
      <c r="WE21" s="4">
        <f t="shared" si="778"/>
        <v>0</v>
      </c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>
        <f t="shared" si="779"/>
        <v>0</v>
      </c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>
        <f t="shared" si="780"/>
        <v>0</v>
      </c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>
        <f t="shared" si="781"/>
        <v>0</v>
      </c>
      <c r="XS21" s="4">
        <f t="shared" si="782"/>
        <v>0</v>
      </c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>
        <f t="shared" si="783"/>
        <v>0</v>
      </c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>
        <f t="shared" si="784"/>
        <v>0</v>
      </c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>
        <f t="shared" si="785"/>
        <v>0</v>
      </c>
      <c r="ZG21" s="4">
        <f t="shared" si="786"/>
        <v>0</v>
      </c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>
        <f t="shared" si="787"/>
        <v>0</v>
      </c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>
        <f t="shared" si="788"/>
        <v>0</v>
      </c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>
        <f t="shared" si="789"/>
        <v>0</v>
      </c>
      <c r="AAU21" s="4">
        <f t="shared" si="790"/>
        <v>0</v>
      </c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>
        <f t="shared" si="791"/>
        <v>0</v>
      </c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>
        <f t="shared" si="792"/>
        <v>0</v>
      </c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>
        <f t="shared" si="793"/>
        <v>0</v>
      </c>
      <c r="ACI21" s="4">
        <f t="shared" si="794"/>
        <v>0</v>
      </c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>
        <f t="shared" si="795"/>
        <v>0</v>
      </c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>
        <f t="shared" si="796"/>
        <v>0</v>
      </c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>
        <f t="shared" si="797"/>
        <v>0</v>
      </c>
      <c r="ADW21" s="4">
        <f t="shared" si="798"/>
        <v>0</v>
      </c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>
        <f t="shared" si="799"/>
        <v>0</v>
      </c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>
        <f t="shared" si="800"/>
        <v>0</v>
      </c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>
        <f t="shared" si="801"/>
        <v>0</v>
      </c>
      <c r="AFK21" s="4">
        <f t="shared" si="802"/>
        <v>0</v>
      </c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>
        <f t="shared" si="803"/>
        <v>0</v>
      </c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>
        <f t="shared" si="804"/>
        <v>0</v>
      </c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>
        <f t="shared" si="805"/>
        <v>0</v>
      </c>
      <c r="AGY21" s="4">
        <f t="shared" si="806"/>
        <v>0</v>
      </c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>
        <f t="shared" si="807"/>
        <v>0</v>
      </c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>
        <f t="shared" si="808"/>
        <v>0</v>
      </c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>
        <f t="shared" si="809"/>
        <v>0</v>
      </c>
      <c r="AIM21" s="4">
        <f t="shared" si="810"/>
        <v>0</v>
      </c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>
        <f t="shared" si="811"/>
        <v>0</v>
      </c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>
        <f t="shared" si="812"/>
        <v>0</v>
      </c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>
        <f t="shared" si="813"/>
        <v>0</v>
      </c>
      <c r="AKA21" s="4">
        <f t="shared" si="814"/>
        <v>0</v>
      </c>
      <c r="AKB21" s="13">
        <f t="shared" si="815"/>
        <v>0</v>
      </c>
      <c r="AKC21" s="3">
        <f>SUM(AKB14:AKB21)</f>
        <v>3510781.55</v>
      </c>
    </row>
    <row r="22" spans="1:965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719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720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721"/>
        <v>0</v>
      </c>
      <c r="AQ22" s="4">
        <f t="shared" si="722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723"/>
        <v>0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>
        <f t="shared" si="724"/>
        <v>0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>
        <f t="shared" si="725"/>
        <v>0</v>
      </c>
      <c r="CE22" s="4">
        <f t="shared" si="726"/>
        <v>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>
        <f t="shared" si="727"/>
        <v>0</v>
      </c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>
        <f t="shared" si="728"/>
        <v>0</v>
      </c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>
        <f t="shared" si="729"/>
        <v>0</v>
      </c>
      <c r="DS22" s="4">
        <f t="shared" si="730"/>
        <v>0</v>
      </c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>
        <f t="shared" si="731"/>
        <v>0</v>
      </c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>
        <f t="shared" si="732"/>
        <v>0</v>
      </c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>
        <f t="shared" si="733"/>
        <v>0</v>
      </c>
      <c r="FG22" s="4">
        <f t="shared" si="734"/>
        <v>0</v>
      </c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>
        <f t="shared" si="735"/>
        <v>0</v>
      </c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>
        <f t="shared" si="736"/>
        <v>0</v>
      </c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>
        <f t="shared" si="737"/>
        <v>0</v>
      </c>
      <c r="GU22" s="4">
        <f t="shared" si="738"/>
        <v>0</v>
      </c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>
        <f t="shared" si="739"/>
        <v>0</v>
      </c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>
        <f t="shared" si="740"/>
        <v>0</v>
      </c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>
        <f t="shared" si="741"/>
        <v>0</v>
      </c>
      <c r="II22" s="4">
        <f t="shared" si="742"/>
        <v>0</v>
      </c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>
        <f t="shared" si="743"/>
        <v>0</v>
      </c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>
        <f t="shared" si="744"/>
        <v>0</v>
      </c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>
        <f t="shared" si="745"/>
        <v>0</v>
      </c>
      <c r="JW22" s="4">
        <f t="shared" si="746"/>
        <v>0</v>
      </c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>
        <f t="shared" si="747"/>
        <v>0</v>
      </c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>
        <f t="shared" si="748"/>
        <v>0</v>
      </c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>
        <f t="shared" si="749"/>
        <v>0</v>
      </c>
      <c r="LK22" s="4">
        <f t="shared" si="750"/>
        <v>0</v>
      </c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>
        <f t="shared" si="751"/>
        <v>0</v>
      </c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>
        <f t="shared" si="752"/>
        <v>0</v>
      </c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>
        <f t="shared" si="753"/>
        <v>0</v>
      </c>
      <c r="MY22" s="4">
        <f t="shared" si="754"/>
        <v>0</v>
      </c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>
        <f t="shared" si="755"/>
        <v>0</v>
      </c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>
        <f t="shared" si="756"/>
        <v>0</v>
      </c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>
        <f t="shared" si="757"/>
        <v>0</v>
      </c>
      <c r="OM22" s="4">
        <f t="shared" si="758"/>
        <v>0</v>
      </c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>
        <f t="shared" si="759"/>
        <v>0</v>
      </c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>
        <f t="shared" si="760"/>
        <v>0</v>
      </c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>
        <f t="shared" si="761"/>
        <v>0</v>
      </c>
      <c r="QA22" s="4">
        <f t="shared" si="762"/>
        <v>0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>
        <f t="shared" si="763"/>
        <v>0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>
        <f t="shared" si="764"/>
        <v>0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>
        <f t="shared" si="765"/>
        <v>0</v>
      </c>
      <c r="RO22" s="4">
        <f t="shared" si="766"/>
        <v>0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f t="shared" si="767"/>
        <v>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>
        <f t="shared" si="768"/>
        <v>0</v>
      </c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>
        <f t="shared" si="769"/>
        <v>0</v>
      </c>
      <c r="TC22" s="4">
        <f t="shared" si="770"/>
        <v>0</v>
      </c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>
        <f t="shared" si="771"/>
        <v>0</v>
      </c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>
        <f t="shared" si="772"/>
        <v>0</v>
      </c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f t="shared" si="773"/>
        <v>0</v>
      </c>
      <c r="UQ22" s="4">
        <f t="shared" si="774"/>
        <v>0</v>
      </c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>
        <f t="shared" si="775"/>
        <v>0</v>
      </c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>
        <f t="shared" si="776"/>
        <v>0</v>
      </c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>
        <f t="shared" si="777"/>
        <v>0</v>
      </c>
      <c r="WE22" s="4">
        <f t="shared" si="778"/>
        <v>0</v>
      </c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>
        <f t="shared" si="779"/>
        <v>0</v>
      </c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>
        <f t="shared" si="780"/>
        <v>0</v>
      </c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>
        <f t="shared" si="781"/>
        <v>0</v>
      </c>
      <c r="XS22" s="4">
        <f t="shared" si="782"/>
        <v>0</v>
      </c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>
        <f t="shared" si="783"/>
        <v>0</v>
      </c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>
        <f t="shared" si="784"/>
        <v>0</v>
      </c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>
        <f t="shared" si="785"/>
        <v>0</v>
      </c>
      <c r="ZG22" s="4">
        <f t="shared" si="786"/>
        <v>0</v>
      </c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>
        <f t="shared" si="787"/>
        <v>0</v>
      </c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>
        <f t="shared" si="788"/>
        <v>0</v>
      </c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>
        <f t="shared" si="789"/>
        <v>0</v>
      </c>
      <c r="AAU22" s="4">
        <f t="shared" si="790"/>
        <v>0</v>
      </c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>
        <f t="shared" si="791"/>
        <v>0</v>
      </c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>
        <f t="shared" si="792"/>
        <v>0</v>
      </c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>
        <f t="shared" si="793"/>
        <v>0</v>
      </c>
      <c r="ACI22" s="4">
        <f t="shared" si="794"/>
        <v>0</v>
      </c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>
        <f t="shared" si="795"/>
        <v>0</v>
      </c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>
        <f t="shared" si="796"/>
        <v>0</v>
      </c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>
        <f t="shared" si="797"/>
        <v>0</v>
      </c>
      <c r="ADW22" s="4">
        <f t="shared" si="798"/>
        <v>0</v>
      </c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>
        <f t="shared" si="799"/>
        <v>0</v>
      </c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>
        <f t="shared" si="800"/>
        <v>0</v>
      </c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>
        <f t="shared" si="801"/>
        <v>0</v>
      </c>
      <c r="AFK22" s="4">
        <f t="shared" si="802"/>
        <v>0</v>
      </c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>
        <f t="shared" si="803"/>
        <v>0</v>
      </c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>
        <f t="shared" si="804"/>
        <v>0</v>
      </c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>
        <f t="shared" si="805"/>
        <v>0</v>
      </c>
      <c r="AGY22" s="4">
        <f t="shared" si="806"/>
        <v>0</v>
      </c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>
        <f t="shared" si="807"/>
        <v>0</v>
      </c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>
        <f t="shared" si="808"/>
        <v>0</v>
      </c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>
        <f t="shared" si="809"/>
        <v>0</v>
      </c>
      <c r="AIM22" s="4">
        <f t="shared" si="810"/>
        <v>0</v>
      </c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>
        <f t="shared" si="811"/>
        <v>0</v>
      </c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>
        <f t="shared" si="812"/>
        <v>0</v>
      </c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>
        <f t="shared" si="813"/>
        <v>0</v>
      </c>
      <c r="AKA22" s="4">
        <f t="shared" si="814"/>
        <v>0</v>
      </c>
      <c r="AKB22" s="13">
        <f t="shared" si="815"/>
        <v>0</v>
      </c>
    </row>
    <row r="23" spans="1:965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719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720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721"/>
        <v>0</v>
      </c>
      <c r="AQ23" s="4">
        <f t="shared" si="722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723"/>
        <v>0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>
        <f t="shared" si="724"/>
        <v>0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>
        <f t="shared" si="725"/>
        <v>0</v>
      </c>
      <c r="CE23" s="4">
        <f t="shared" si="726"/>
        <v>0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>
        <f t="shared" si="727"/>
        <v>0</v>
      </c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>
        <f t="shared" si="728"/>
        <v>0</v>
      </c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>
        <f t="shared" si="729"/>
        <v>0</v>
      </c>
      <c r="DS23" s="4">
        <f t="shared" si="730"/>
        <v>0</v>
      </c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>
        <f t="shared" si="731"/>
        <v>0</v>
      </c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>
        <f t="shared" si="732"/>
        <v>0</v>
      </c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>
        <f t="shared" si="733"/>
        <v>0</v>
      </c>
      <c r="FG23" s="4">
        <f t="shared" si="734"/>
        <v>0</v>
      </c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>
        <f t="shared" si="735"/>
        <v>0</v>
      </c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>
        <f t="shared" si="736"/>
        <v>0</v>
      </c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>
        <f t="shared" si="737"/>
        <v>0</v>
      </c>
      <c r="GU23" s="4">
        <f t="shared" si="738"/>
        <v>0</v>
      </c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>
        <f t="shared" si="739"/>
        <v>0</v>
      </c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>
        <f t="shared" si="740"/>
        <v>0</v>
      </c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>
        <f t="shared" si="741"/>
        <v>0</v>
      </c>
      <c r="II23" s="4">
        <f t="shared" si="742"/>
        <v>0</v>
      </c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>
        <f t="shared" si="743"/>
        <v>0</v>
      </c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>
        <f t="shared" si="744"/>
        <v>0</v>
      </c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>
        <f t="shared" si="745"/>
        <v>0</v>
      </c>
      <c r="JW23" s="4">
        <f t="shared" si="746"/>
        <v>0</v>
      </c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>
        <f t="shared" si="747"/>
        <v>0</v>
      </c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>
        <f t="shared" si="748"/>
        <v>0</v>
      </c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>
        <f t="shared" si="749"/>
        <v>0</v>
      </c>
      <c r="LK23" s="4">
        <f t="shared" si="750"/>
        <v>0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>
        <f t="shared" si="751"/>
        <v>0</v>
      </c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>
        <f t="shared" si="752"/>
        <v>0</v>
      </c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>
        <f t="shared" si="753"/>
        <v>0</v>
      </c>
      <c r="MY23" s="4">
        <f t="shared" si="754"/>
        <v>0</v>
      </c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>
        <f t="shared" si="755"/>
        <v>0</v>
      </c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>
        <f t="shared" si="756"/>
        <v>0</v>
      </c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>
        <f t="shared" si="757"/>
        <v>0</v>
      </c>
      <c r="OM23" s="4">
        <f t="shared" si="758"/>
        <v>0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>
        <f t="shared" si="759"/>
        <v>0</v>
      </c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>
        <f t="shared" si="760"/>
        <v>0</v>
      </c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>
        <f t="shared" si="761"/>
        <v>0</v>
      </c>
      <c r="QA23" s="4">
        <f t="shared" si="762"/>
        <v>0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>
        <f t="shared" si="763"/>
        <v>0</v>
      </c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>
        <f t="shared" si="764"/>
        <v>0</v>
      </c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>
        <f t="shared" si="765"/>
        <v>0</v>
      </c>
      <c r="RO23" s="4">
        <f t="shared" si="766"/>
        <v>0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>
        <f t="shared" si="767"/>
        <v>0</v>
      </c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>
        <f t="shared" si="768"/>
        <v>0</v>
      </c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>
        <f t="shared" si="769"/>
        <v>0</v>
      </c>
      <c r="TC23" s="4">
        <f t="shared" si="770"/>
        <v>0</v>
      </c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>
        <f t="shared" si="771"/>
        <v>0</v>
      </c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>
        <f t="shared" si="772"/>
        <v>0</v>
      </c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>
        <f t="shared" si="773"/>
        <v>0</v>
      </c>
      <c r="UQ23" s="4">
        <f t="shared" si="774"/>
        <v>0</v>
      </c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>
        <f t="shared" si="775"/>
        <v>0</v>
      </c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>
        <f t="shared" si="776"/>
        <v>0</v>
      </c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>
        <f t="shared" si="777"/>
        <v>0</v>
      </c>
      <c r="WE23" s="4">
        <f t="shared" si="778"/>
        <v>0</v>
      </c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>
        <f t="shared" si="779"/>
        <v>0</v>
      </c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>
        <f t="shared" si="780"/>
        <v>0</v>
      </c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>
        <f t="shared" si="781"/>
        <v>0</v>
      </c>
      <c r="XS23" s="4">
        <f t="shared" si="782"/>
        <v>0</v>
      </c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>
        <f t="shared" si="783"/>
        <v>0</v>
      </c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>
        <f t="shared" si="784"/>
        <v>0</v>
      </c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>
        <f t="shared" si="785"/>
        <v>0</v>
      </c>
      <c r="ZG23" s="4">
        <f t="shared" si="786"/>
        <v>0</v>
      </c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>
        <f t="shared" si="787"/>
        <v>0</v>
      </c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>
        <f t="shared" si="788"/>
        <v>0</v>
      </c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>
        <f t="shared" si="789"/>
        <v>0</v>
      </c>
      <c r="AAU23" s="4">
        <f t="shared" si="790"/>
        <v>0</v>
      </c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>
        <f t="shared" si="791"/>
        <v>0</v>
      </c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>
        <f t="shared" si="792"/>
        <v>0</v>
      </c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>
        <f t="shared" si="793"/>
        <v>0</v>
      </c>
      <c r="ACI23" s="4">
        <f t="shared" si="794"/>
        <v>0</v>
      </c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>
        <f t="shared" si="795"/>
        <v>0</v>
      </c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>
        <f t="shared" si="796"/>
        <v>0</v>
      </c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>
        <f t="shared" si="797"/>
        <v>0</v>
      </c>
      <c r="ADW23" s="4">
        <f t="shared" si="798"/>
        <v>0</v>
      </c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>
        <f t="shared" si="799"/>
        <v>0</v>
      </c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>
        <f t="shared" si="800"/>
        <v>0</v>
      </c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>
        <f t="shared" si="801"/>
        <v>0</v>
      </c>
      <c r="AFK23" s="4">
        <f t="shared" si="802"/>
        <v>0</v>
      </c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>
        <f t="shared" si="803"/>
        <v>0</v>
      </c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>
        <f t="shared" si="804"/>
        <v>0</v>
      </c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>
        <f t="shared" si="805"/>
        <v>0</v>
      </c>
      <c r="AGY23" s="4">
        <f t="shared" si="806"/>
        <v>0</v>
      </c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>
        <f t="shared" si="807"/>
        <v>0</v>
      </c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>
        <f t="shared" si="808"/>
        <v>0</v>
      </c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>
        <f t="shared" si="809"/>
        <v>0</v>
      </c>
      <c r="AIM23" s="4">
        <f t="shared" si="810"/>
        <v>0</v>
      </c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>
        <f t="shared" si="811"/>
        <v>0</v>
      </c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>
        <f t="shared" si="812"/>
        <v>0</v>
      </c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>
        <f t="shared" si="813"/>
        <v>0</v>
      </c>
      <c r="AKA23" s="4">
        <f t="shared" si="814"/>
        <v>0</v>
      </c>
      <c r="AKB23" s="13">
        <f t="shared" si="815"/>
        <v>0</v>
      </c>
    </row>
    <row r="24" spans="1:965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719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720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721"/>
        <v>0</v>
      </c>
      <c r="AQ24" s="4">
        <f t="shared" si="722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723"/>
        <v>0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>
        <f t="shared" si="724"/>
        <v>0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>
        <f t="shared" si="725"/>
        <v>0</v>
      </c>
      <c r="CE24" s="4">
        <f t="shared" si="726"/>
        <v>0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>
        <f t="shared" si="727"/>
        <v>0</v>
      </c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>
        <f t="shared" si="728"/>
        <v>0</v>
      </c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>
        <f t="shared" si="729"/>
        <v>0</v>
      </c>
      <c r="DS24" s="4">
        <f t="shared" si="730"/>
        <v>0</v>
      </c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>
        <f t="shared" si="731"/>
        <v>0</v>
      </c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>
        <f t="shared" si="732"/>
        <v>0</v>
      </c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>
        <f t="shared" si="733"/>
        <v>0</v>
      </c>
      <c r="FG24" s="4">
        <f t="shared" si="734"/>
        <v>0</v>
      </c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>
        <f t="shared" si="735"/>
        <v>0</v>
      </c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>
        <f t="shared" si="736"/>
        <v>0</v>
      </c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>
        <f t="shared" si="737"/>
        <v>0</v>
      </c>
      <c r="GU24" s="4">
        <f t="shared" si="738"/>
        <v>0</v>
      </c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>
        <f t="shared" si="739"/>
        <v>0</v>
      </c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>
        <f t="shared" si="740"/>
        <v>0</v>
      </c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>
        <f t="shared" si="741"/>
        <v>0</v>
      </c>
      <c r="II24" s="4">
        <f t="shared" si="742"/>
        <v>0</v>
      </c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>
        <f t="shared" si="743"/>
        <v>0</v>
      </c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>
        <f t="shared" si="744"/>
        <v>0</v>
      </c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>
        <f t="shared" si="745"/>
        <v>0</v>
      </c>
      <c r="JW24" s="4">
        <f t="shared" si="746"/>
        <v>0</v>
      </c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>
        <f t="shared" si="747"/>
        <v>0</v>
      </c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>
        <f t="shared" si="748"/>
        <v>0</v>
      </c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>
        <f t="shared" si="749"/>
        <v>0</v>
      </c>
      <c r="LK24" s="4">
        <f t="shared" si="750"/>
        <v>0</v>
      </c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>
        <f t="shared" si="751"/>
        <v>0</v>
      </c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>
        <f t="shared" si="752"/>
        <v>0</v>
      </c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>
        <f t="shared" si="753"/>
        <v>0</v>
      </c>
      <c r="MY24" s="4">
        <f t="shared" si="754"/>
        <v>0</v>
      </c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>
        <f t="shared" si="755"/>
        <v>0</v>
      </c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>
        <f t="shared" si="756"/>
        <v>0</v>
      </c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>
        <f t="shared" si="757"/>
        <v>0</v>
      </c>
      <c r="OM24" s="4">
        <f t="shared" si="758"/>
        <v>0</v>
      </c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>
        <f t="shared" si="759"/>
        <v>0</v>
      </c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>
        <f t="shared" si="760"/>
        <v>0</v>
      </c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>
        <f t="shared" si="761"/>
        <v>0</v>
      </c>
      <c r="QA24" s="4">
        <f t="shared" si="762"/>
        <v>0</v>
      </c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>
        <f t="shared" si="763"/>
        <v>0</v>
      </c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>
        <f t="shared" si="764"/>
        <v>0</v>
      </c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>
        <f t="shared" si="765"/>
        <v>0</v>
      </c>
      <c r="RO24" s="4">
        <f t="shared" si="766"/>
        <v>0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>
        <f t="shared" si="767"/>
        <v>0</v>
      </c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>
        <f t="shared" si="768"/>
        <v>0</v>
      </c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>
        <f t="shared" si="769"/>
        <v>0</v>
      </c>
      <c r="TC24" s="4">
        <f t="shared" si="770"/>
        <v>0</v>
      </c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>
        <f t="shared" si="771"/>
        <v>0</v>
      </c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>
        <f t="shared" si="772"/>
        <v>0</v>
      </c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>
        <f t="shared" si="773"/>
        <v>0</v>
      </c>
      <c r="UQ24" s="4">
        <f t="shared" si="774"/>
        <v>0</v>
      </c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>
        <f t="shared" si="775"/>
        <v>0</v>
      </c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>
        <f t="shared" si="776"/>
        <v>0</v>
      </c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>
        <f t="shared" si="777"/>
        <v>0</v>
      </c>
      <c r="WE24" s="4">
        <f t="shared" si="778"/>
        <v>0</v>
      </c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>
        <f t="shared" si="779"/>
        <v>0</v>
      </c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>
        <f t="shared" si="780"/>
        <v>0</v>
      </c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>
        <f t="shared" si="781"/>
        <v>0</v>
      </c>
      <c r="XS24" s="4">
        <f t="shared" si="782"/>
        <v>0</v>
      </c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>
        <f t="shared" si="783"/>
        <v>0</v>
      </c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>
        <f t="shared" si="784"/>
        <v>0</v>
      </c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>
        <f t="shared" si="785"/>
        <v>0</v>
      </c>
      <c r="ZG24" s="4">
        <f t="shared" si="786"/>
        <v>0</v>
      </c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>
        <f t="shared" si="787"/>
        <v>0</v>
      </c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>
        <f t="shared" si="788"/>
        <v>0</v>
      </c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>
        <f t="shared" si="789"/>
        <v>0</v>
      </c>
      <c r="AAU24" s="4">
        <f t="shared" si="790"/>
        <v>0</v>
      </c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>
        <f t="shared" si="791"/>
        <v>0</v>
      </c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>
        <f t="shared" si="792"/>
        <v>0</v>
      </c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>
        <f t="shared" si="793"/>
        <v>0</v>
      </c>
      <c r="ACI24" s="4">
        <f t="shared" si="794"/>
        <v>0</v>
      </c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>
        <f t="shared" si="795"/>
        <v>0</v>
      </c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>
        <f t="shared" si="796"/>
        <v>0</v>
      </c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>
        <f t="shared" si="797"/>
        <v>0</v>
      </c>
      <c r="ADW24" s="4">
        <f t="shared" si="798"/>
        <v>0</v>
      </c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>
        <f t="shared" si="799"/>
        <v>0</v>
      </c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>
        <f t="shared" si="800"/>
        <v>0</v>
      </c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>
        <f t="shared" si="801"/>
        <v>0</v>
      </c>
      <c r="AFK24" s="4">
        <f t="shared" si="802"/>
        <v>0</v>
      </c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>
        <f t="shared" si="803"/>
        <v>0</v>
      </c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>
        <f t="shared" si="804"/>
        <v>0</v>
      </c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>
        <f t="shared" si="805"/>
        <v>0</v>
      </c>
      <c r="AGY24" s="4">
        <f t="shared" si="806"/>
        <v>0</v>
      </c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>
        <f t="shared" si="807"/>
        <v>0</v>
      </c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>
        <f t="shared" si="808"/>
        <v>0</v>
      </c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>
        <f t="shared" si="809"/>
        <v>0</v>
      </c>
      <c r="AIM24" s="4">
        <f t="shared" si="810"/>
        <v>0</v>
      </c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>
        <f t="shared" si="811"/>
        <v>0</v>
      </c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>
        <f t="shared" si="812"/>
        <v>0</v>
      </c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>
        <f t="shared" si="813"/>
        <v>0</v>
      </c>
      <c r="AKA24" s="4">
        <f t="shared" si="814"/>
        <v>0</v>
      </c>
      <c r="AKB24" s="13">
        <f t="shared" si="815"/>
        <v>0</v>
      </c>
    </row>
    <row r="25" spans="1:965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719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720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721"/>
        <v>0</v>
      </c>
      <c r="AQ25" s="4">
        <f t="shared" si="722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723"/>
        <v>0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>
        <f t="shared" si="724"/>
        <v>0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>
        <f t="shared" si="725"/>
        <v>0</v>
      </c>
      <c r="CE25" s="4">
        <f t="shared" si="726"/>
        <v>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>
        <f t="shared" si="727"/>
        <v>0</v>
      </c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>
        <f t="shared" si="728"/>
        <v>0</v>
      </c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>
        <f t="shared" si="729"/>
        <v>0</v>
      </c>
      <c r="DS25" s="4">
        <f t="shared" si="730"/>
        <v>0</v>
      </c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>
        <f t="shared" si="731"/>
        <v>0</v>
      </c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>
        <f t="shared" si="732"/>
        <v>0</v>
      </c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>
        <f t="shared" si="733"/>
        <v>0</v>
      </c>
      <c r="FG25" s="4">
        <f t="shared" si="734"/>
        <v>0</v>
      </c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>
        <f t="shared" si="735"/>
        <v>0</v>
      </c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>
        <f t="shared" si="736"/>
        <v>0</v>
      </c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>
        <f t="shared" si="737"/>
        <v>0</v>
      </c>
      <c r="GU25" s="4">
        <f t="shared" si="738"/>
        <v>0</v>
      </c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>
        <f t="shared" si="739"/>
        <v>0</v>
      </c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>
        <f t="shared" si="740"/>
        <v>0</v>
      </c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>
        <f t="shared" si="741"/>
        <v>0</v>
      </c>
      <c r="II25" s="4">
        <f t="shared" si="742"/>
        <v>0</v>
      </c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>
        <f t="shared" si="743"/>
        <v>0</v>
      </c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>
        <f t="shared" si="744"/>
        <v>0</v>
      </c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>
        <f t="shared" si="745"/>
        <v>0</v>
      </c>
      <c r="JW25" s="4">
        <f t="shared" si="746"/>
        <v>0</v>
      </c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>
        <f t="shared" si="747"/>
        <v>0</v>
      </c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>
        <f t="shared" si="748"/>
        <v>0</v>
      </c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>
        <f t="shared" si="749"/>
        <v>0</v>
      </c>
      <c r="LK25" s="4">
        <f t="shared" si="750"/>
        <v>0</v>
      </c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>
        <f t="shared" si="751"/>
        <v>0</v>
      </c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>
        <f t="shared" si="752"/>
        <v>0</v>
      </c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>
        <f t="shared" si="753"/>
        <v>0</v>
      </c>
      <c r="MY25" s="4">
        <f t="shared" si="754"/>
        <v>0</v>
      </c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>
        <f t="shared" si="755"/>
        <v>0</v>
      </c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>
        <f t="shared" si="756"/>
        <v>0</v>
      </c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>
        <f t="shared" si="757"/>
        <v>0</v>
      </c>
      <c r="OM25" s="4">
        <f t="shared" si="758"/>
        <v>0</v>
      </c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>
        <f t="shared" si="759"/>
        <v>0</v>
      </c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>
        <f t="shared" si="760"/>
        <v>0</v>
      </c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>
        <f t="shared" si="761"/>
        <v>0</v>
      </c>
      <c r="QA25" s="4">
        <f t="shared" si="762"/>
        <v>0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>
        <f t="shared" si="763"/>
        <v>0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>
        <f t="shared" si="764"/>
        <v>0</v>
      </c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>
        <f t="shared" si="765"/>
        <v>0</v>
      </c>
      <c r="RO25" s="4">
        <f t="shared" si="766"/>
        <v>0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>
        <f t="shared" si="767"/>
        <v>0</v>
      </c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>
        <f t="shared" si="768"/>
        <v>0</v>
      </c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>
        <f t="shared" si="769"/>
        <v>0</v>
      </c>
      <c r="TC25" s="4">
        <f t="shared" si="770"/>
        <v>0</v>
      </c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>
        <f t="shared" si="771"/>
        <v>0</v>
      </c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>
        <f t="shared" si="772"/>
        <v>0</v>
      </c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f t="shared" si="773"/>
        <v>0</v>
      </c>
      <c r="UQ25" s="4">
        <f t="shared" si="774"/>
        <v>0</v>
      </c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>
        <f t="shared" si="775"/>
        <v>0</v>
      </c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>
        <f t="shared" si="776"/>
        <v>0</v>
      </c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>
        <f t="shared" si="777"/>
        <v>0</v>
      </c>
      <c r="WE25" s="4">
        <f t="shared" si="778"/>
        <v>0</v>
      </c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>
        <f t="shared" si="779"/>
        <v>0</v>
      </c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>
        <f t="shared" si="780"/>
        <v>0</v>
      </c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>
        <f t="shared" si="781"/>
        <v>0</v>
      </c>
      <c r="XS25" s="4">
        <f t="shared" si="782"/>
        <v>0</v>
      </c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>
        <f t="shared" si="783"/>
        <v>0</v>
      </c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>
        <f t="shared" si="784"/>
        <v>0</v>
      </c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>
        <f t="shared" si="785"/>
        <v>0</v>
      </c>
      <c r="ZG25" s="4">
        <f t="shared" si="786"/>
        <v>0</v>
      </c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>
        <f t="shared" si="787"/>
        <v>0</v>
      </c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>
        <f t="shared" si="788"/>
        <v>0</v>
      </c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>
        <f t="shared" si="789"/>
        <v>0</v>
      </c>
      <c r="AAU25" s="4">
        <f t="shared" si="790"/>
        <v>0</v>
      </c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>
        <f t="shared" si="791"/>
        <v>0</v>
      </c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>
        <f t="shared" si="792"/>
        <v>0</v>
      </c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>
        <f t="shared" si="793"/>
        <v>0</v>
      </c>
      <c r="ACI25" s="4">
        <f t="shared" si="794"/>
        <v>0</v>
      </c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>
        <f t="shared" si="795"/>
        <v>0</v>
      </c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>
        <f t="shared" si="796"/>
        <v>0</v>
      </c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>
        <f t="shared" si="797"/>
        <v>0</v>
      </c>
      <c r="ADW25" s="4">
        <f t="shared" si="798"/>
        <v>0</v>
      </c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>
        <f t="shared" si="799"/>
        <v>0</v>
      </c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>
        <f t="shared" si="800"/>
        <v>0</v>
      </c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>
        <f t="shared" si="801"/>
        <v>0</v>
      </c>
      <c r="AFK25" s="4">
        <f t="shared" si="802"/>
        <v>0</v>
      </c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>
        <f t="shared" si="803"/>
        <v>0</v>
      </c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>
        <f t="shared" si="804"/>
        <v>0</v>
      </c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>
        <f t="shared" si="805"/>
        <v>0</v>
      </c>
      <c r="AGY25" s="4">
        <f t="shared" si="806"/>
        <v>0</v>
      </c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>
        <f t="shared" si="807"/>
        <v>0</v>
      </c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>
        <f t="shared" si="808"/>
        <v>0</v>
      </c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>
        <f t="shared" si="809"/>
        <v>0</v>
      </c>
      <c r="AIM25" s="4">
        <f t="shared" si="810"/>
        <v>0</v>
      </c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>
        <f t="shared" si="811"/>
        <v>0</v>
      </c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>
        <f t="shared" si="812"/>
        <v>0</v>
      </c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>
        <f t="shared" si="813"/>
        <v>0</v>
      </c>
      <c r="AKA25" s="4">
        <f t="shared" si="814"/>
        <v>0</v>
      </c>
      <c r="AKB25" s="13">
        <f t="shared" si="815"/>
        <v>0</v>
      </c>
    </row>
    <row r="26" spans="1:965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719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720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721"/>
        <v>0</v>
      </c>
      <c r="AQ26" s="4">
        <f t="shared" si="722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723"/>
        <v>0</v>
      </c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>
        <f t="shared" si="724"/>
        <v>0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>
        <f t="shared" si="725"/>
        <v>0</v>
      </c>
      <c r="CE26" s="4">
        <f t="shared" si="726"/>
        <v>0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f t="shared" si="727"/>
        <v>0</v>
      </c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>
        <f t="shared" si="728"/>
        <v>0</v>
      </c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>
        <f t="shared" si="729"/>
        <v>0</v>
      </c>
      <c r="DS26" s="4">
        <f t="shared" si="730"/>
        <v>0</v>
      </c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>
        <f t="shared" si="731"/>
        <v>0</v>
      </c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>
        <f t="shared" si="732"/>
        <v>0</v>
      </c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>
        <f t="shared" si="733"/>
        <v>0</v>
      </c>
      <c r="FG26" s="4">
        <f t="shared" si="734"/>
        <v>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>
        <f t="shared" si="735"/>
        <v>0</v>
      </c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>
        <f t="shared" si="736"/>
        <v>0</v>
      </c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>
        <f t="shared" si="737"/>
        <v>0</v>
      </c>
      <c r="GU26" s="4">
        <f t="shared" si="738"/>
        <v>0</v>
      </c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>
        <f t="shared" si="739"/>
        <v>0</v>
      </c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>
        <f t="shared" si="740"/>
        <v>0</v>
      </c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>
        <f t="shared" si="741"/>
        <v>0</v>
      </c>
      <c r="II26" s="4">
        <f t="shared" si="742"/>
        <v>0</v>
      </c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>
        <f t="shared" si="743"/>
        <v>0</v>
      </c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>
        <f t="shared" si="744"/>
        <v>0</v>
      </c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>
        <f t="shared" si="745"/>
        <v>0</v>
      </c>
      <c r="JW26" s="4">
        <f t="shared" si="746"/>
        <v>0</v>
      </c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>
        <f t="shared" si="747"/>
        <v>0</v>
      </c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>
        <f t="shared" si="748"/>
        <v>0</v>
      </c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>
        <f t="shared" si="749"/>
        <v>0</v>
      </c>
      <c r="LK26" s="4">
        <f t="shared" si="750"/>
        <v>0</v>
      </c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>
        <f t="shared" si="751"/>
        <v>0</v>
      </c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>
        <f t="shared" si="752"/>
        <v>0</v>
      </c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>
        <f t="shared" si="753"/>
        <v>0</v>
      </c>
      <c r="MY26" s="4">
        <f t="shared" si="754"/>
        <v>0</v>
      </c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>
        <f t="shared" si="755"/>
        <v>0</v>
      </c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>
        <f t="shared" si="756"/>
        <v>0</v>
      </c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>
        <f t="shared" si="757"/>
        <v>0</v>
      </c>
      <c r="OM26" s="4">
        <f t="shared" si="758"/>
        <v>0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>
        <f t="shared" si="759"/>
        <v>0</v>
      </c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>
        <f t="shared" si="760"/>
        <v>0</v>
      </c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>
        <f t="shared" si="761"/>
        <v>0</v>
      </c>
      <c r="QA26" s="4">
        <f t="shared" si="762"/>
        <v>0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>
        <f t="shared" si="763"/>
        <v>0</v>
      </c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>
        <f t="shared" si="764"/>
        <v>0</v>
      </c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>
        <f t="shared" si="765"/>
        <v>0</v>
      </c>
      <c r="RO26" s="4">
        <f t="shared" si="766"/>
        <v>0</v>
      </c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>
        <f t="shared" si="767"/>
        <v>0</v>
      </c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>
        <f t="shared" si="768"/>
        <v>0</v>
      </c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>
        <f t="shared" si="769"/>
        <v>0</v>
      </c>
      <c r="TC26" s="4">
        <f t="shared" si="770"/>
        <v>0</v>
      </c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>
        <f t="shared" si="771"/>
        <v>0</v>
      </c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>
        <f t="shared" si="772"/>
        <v>0</v>
      </c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>
        <f t="shared" si="773"/>
        <v>0</v>
      </c>
      <c r="UQ26" s="4">
        <f t="shared" si="774"/>
        <v>0</v>
      </c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>
        <f t="shared" si="775"/>
        <v>0</v>
      </c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>
        <f t="shared" si="776"/>
        <v>0</v>
      </c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>
        <f t="shared" si="777"/>
        <v>0</v>
      </c>
      <c r="WE26" s="4">
        <f t="shared" si="778"/>
        <v>0</v>
      </c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>
        <f t="shared" si="779"/>
        <v>0</v>
      </c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>
        <f t="shared" si="780"/>
        <v>0</v>
      </c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>
        <f t="shared" si="781"/>
        <v>0</v>
      </c>
      <c r="XS26" s="4">
        <f t="shared" si="782"/>
        <v>0</v>
      </c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>
        <f t="shared" si="783"/>
        <v>0</v>
      </c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>
        <f t="shared" si="784"/>
        <v>0</v>
      </c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>
        <f t="shared" si="785"/>
        <v>0</v>
      </c>
      <c r="ZG26" s="4">
        <f t="shared" si="786"/>
        <v>0</v>
      </c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>
        <f t="shared" si="787"/>
        <v>0</v>
      </c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>
        <f t="shared" si="788"/>
        <v>0</v>
      </c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>
        <f t="shared" si="789"/>
        <v>0</v>
      </c>
      <c r="AAU26" s="4">
        <f t="shared" si="790"/>
        <v>0</v>
      </c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>
        <f t="shared" si="791"/>
        <v>0</v>
      </c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>
        <f t="shared" si="792"/>
        <v>0</v>
      </c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>
        <f t="shared" si="793"/>
        <v>0</v>
      </c>
      <c r="ACI26" s="4">
        <f t="shared" si="794"/>
        <v>0</v>
      </c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>
        <f t="shared" si="795"/>
        <v>0</v>
      </c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>
        <f t="shared" si="796"/>
        <v>0</v>
      </c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>
        <f t="shared" si="797"/>
        <v>0</v>
      </c>
      <c r="ADW26" s="4">
        <f t="shared" si="798"/>
        <v>0</v>
      </c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>
        <f t="shared" si="799"/>
        <v>0</v>
      </c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>
        <f t="shared" si="800"/>
        <v>0</v>
      </c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>
        <f t="shared" si="801"/>
        <v>0</v>
      </c>
      <c r="AFK26" s="4">
        <f t="shared" si="802"/>
        <v>0</v>
      </c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>
        <f t="shared" si="803"/>
        <v>0</v>
      </c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>
        <f t="shared" si="804"/>
        <v>0</v>
      </c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>
        <f t="shared" si="805"/>
        <v>0</v>
      </c>
      <c r="AGY26" s="4">
        <f t="shared" si="806"/>
        <v>0</v>
      </c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>
        <f t="shared" si="807"/>
        <v>0</v>
      </c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>
        <f t="shared" si="808"/>
        <v>0</v>
      </c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>
        <f t="shared" si="809"/>
        <v>0</v>
      </c>
      <c r="AIM26" s="4">
        <f t="shared" si="810"/>
        <v>0</v>
      </c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>
        <f t="shared" si="811"/>
        <v>0</v>
      </c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>
        <f t="shared" si="812"/>
        <v>0</v>
      </c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>
        <f t="shared" si="813"/>
        <v>0</v>
      </c>
      <c r="AKA26" s="4">
        <f t="shared" si="814"/>
        <v>0</v>
      </c>
      <c r="AKB26" s="13">
        <f t="shared" si="815"/>
        <v>0</v>
      </c>
    </row>
    <row r="27" spans="1:965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719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720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721"/>
        <v>0</v>
      </c>
      <c r="AQ27" s="4">
        <f t="shared" si="722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723"/>
        <v>0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>
        <f t="shared" si="724"/>
        <v>0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>
        <f t="shared" si="725"/>
        <v>0</v>
      </c>
      <c r="CE27" s="4">
        <f t="shared" si="726"/>
        <v>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f t="shared" si="727"/>
        <v>0</v>
      </c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>
        <f t="shared" si="728"/>
        <v>0</v>
      </c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>
        <f t="shared" si="729"/>
        <v>0</v>
      </c>
      <c r="DS27" s="4">
        <f t="shared" si="730"/>
        <v>0</v>
      </c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>
        <f t="shared" si="731"/>
        <v>0</v>
      </c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>
        <f t="shared" si="732"/>
        <v>0</v>
      </c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>
        <f t="shared" si="733"/>
        <v>0</v>
      </c>
      <c r="FG27" s="4">
        <f t="shared" si="734"/>
        <v>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>
        <f t="shared" si="735"/>
        <v>0</v>
      </c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>
        <f t="shared" si="736"/>
        <v>0</v>
      </c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>
        <f t="shared" si="737"/>
        <v>0</v>
      </c>
      <c r="GU27" s="4">
        <f t="shared" si="738"/>
        <v>0</v>
      </c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>
        <f t="shared" si="739"/>
        <v>0</v>
      </c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>
        <f t="shared" si="740"/>
        <v>0</v>
      </c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>
        <f t="shared" si="741"/>
        <v>0</v>
      </c>
      <c r="II27" s="4">
        <f t="shared" si="742"/>
        <v>0</v>
      </c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>
        <f t="shared" si="743"/>
        <v>0</v>
      </c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>
        <f t="shared" si="744"/>
        <v>0</v>
      </c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>
        <f t="shared" si="745"/>
        <v>0</v>
      </c>
      <c r="JW27" s="4">
        <f t="shared" si="746"/>
        <v>0</v>
      </c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>
        <f t="shared" si="747"/>
        <v>0</v>
      </c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>
        <f t="shared" si="748"/>
        <v>0</v>
      </c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>
        <f t="shared" si="749"/>
        <v>0</v>
      </c>
      <c r="LK27" s="4">
        <f t="shared" si="750"/>
        <v>0</v>
      </c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>
        <f t="shared" si="751"/>
        <v>0</v>
      </c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>
        <f t="shared" si="752"/>
        <v>0</v>
      </c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>
        <f t="shared" si="753"/>
        <v>0</v>
      </c>
      <c r="MY27" s="4">
        <f t="shared" si="754"/>
        <v>0</v>
      </c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>
        <f t="shared" si="755"/>
        <v>0</v>
      </c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>
        <f t="shared" si="756"/>
        <v>0</v>
      </c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>
        <f t="shared" si="757"/>
        <v>0</v>
      </c>
      <c r="OM27" s="4">
        <f t="shared" si="758"/>
        <v>0</v>
      </c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>
        <f t="shared" si="759"/>
        <v>0</v>
      </c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>
        <f t="shared" si="760"/>
        <v>0</v>
      </c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>
        <f t="shared" si="761"/>
        <v>0</v>
      </c>
      <c r="QA27" s="4">
        <f t="shared" si="762"/>
        <v>0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>
        <f t="shared" si="763"/>
        <v>0</v>
      </c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>
        <f t="shared" si="764"/>
        <v>0</v>
      </c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>
        <f t="shared" si="765"/>
        <v>0</v>
      </c>
      <c r="RO27" s="4">
        <f t="shared" si="766"/>
        <v>0</v>
      </c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>
        <f t="shared" si="767"/>
        <v>0</v>
      </c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>
        <f t="shared" si="768"/>
        <v>0</v>
      </c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>
        <f t="shared" si="769"/>
        <v>0</v>
      </c>
      <c r="TC27" s="4">
        <f t="shared" si="770"/>
        <v>0</v>
      </c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>
        <f t="shared" si="771"/>
        <v>0</v>
      </c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>
        <f t="shared" si="772"/>
        <v>0</v>
      </c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>
        <f t="shared" si="773"/>
        <v>0</v>
      </c>
      <c r="UQ27" s="4">
        <f t="shared" si="774"/>
        <v>0</v>
      </c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>
        <f t="shared" si="775"/>
        <v>0</v>
      </c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>
        <f t="shared" si="776"/>
        <v>0</v>
      </c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>
        <f t="shared" si="777"/>
        <v>0</v>
      </c>
      <c r="WE27" s="4">
        <f t="shared" si="778"/>
        <v>0</v>
      </c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>
        <f t="shared" si="779"/>
        <v>0</v>
      </c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>
        <f t="shared" si="780"/>
        <v>0</v>
      </c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>
        <f t="shared" si="781"/>
        <v>0</v>
      </c>
      <c r="XS27" s="4">
        <f t="shared" si="782"/>
        <v>0</v>
      </c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>
        <f t="shared" si="783"/>
        <v>0</v>
      </c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>
        <f t="shared" si="784"/>
        <v>0</v>
      </c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>
        <f t="shared" si="785"/>
        <v>0</v>
      </c>
      <c r="ZG27" s="4">
        <f t="shared" si="786"/>
        <v>0</v>
      </c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>
        <f t="shared" si="787"/>
        <v>0</v>
      </c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>
        <f t="shared" si="788"/>
        <v>0</v>
      </c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>
        <f t="shared" si="789"/>
        <v>0</v>
      </c>
      <c r="AAU27" s="4">
        <f t="shared" si="790"/>
        <v>0</v>
      </c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>
        <f t="shared" si="791"/>
        <v>0</v>
      </c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>
        <f t="shared" si="792"/>
        <v>0</v>
      </c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>
        <f t="shared" si="793"/>
        <v>0</v>
      </c>
      <c r="ACI27" s="4">
        <f t="shared" si="794"/>
        <v>0</v>
      </c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>
        <f t="shared" si="795"/>
        <v>0</v>
      </c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>
        <f t="shared" si="796"/>
        <v>0</v>
      </c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>
        <f t="shared" si="797"/>
        <v>0</v>
      </c>
      <c r="ADW27" s="4">
        <f t="shared" si="798"/>
        <v>0</v>
      </c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>
        <f t="shared" si="799"/>
        <v>0</v>
      </c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>
        <f t="shared" si="800"/>
        <v>0</v>
      </c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>
        <f t="shared" si="801"/>
        <v>0</v>
      </c>
      <c r="AFK27" s="4">
        <f t="shared" si="802"/>
        <v>0</v>
      </c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>
        <f t="shared" si="803"/>
        <v>0</v>
      </c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>
        <f t="shared" si="804"/>
        <v>0</v>
      </c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>
        <f t="shared" si="805"/>
        <v>0</v>
      </c>
      <c r="AGY27" s="4">
        <f t="shared" si="806"/>
        <v>0</v>
      </c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>
        <f t="shared" si="807"/>
        <v>0</v>
      </c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>
        <f t="shared" si="808"/>
        <v>0</v>
      </c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>
        <f t="shared" si="809"/>
        <v>0</v>
      </c>
      <c r="AIM27" s="4">
        <f t="shared" si="810"/>
        <v>0</v>
      </c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>
        <f t="shared" si="811"/>
        <v>0</v>
      </c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>
        <f t="shared" si="812"/>
        <v>0</v>
      </c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>
        <f t="shared" si="813"/>
        <v>0</v>
      </c>
      <c r="AKA27" s="4">
        <f t="shared" si="814"/>
        <v>0</v>
      </c>
      <c r="AKB27" s="13">
        <f t="shared" si="815"/>
        <v>0</v>
      </c>
    </row>
    <row r="28" spans="1:965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719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720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721"/>
        <v>0</v>
      </c>
      <c r="AQ28" s="4">
        <f t="shared" si="722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723"/>
        <v>0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>
        <f t="shared" si="724"/>
        <v>0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>
        <f t="shared" si="725"/>
        <v>0</v>
      </c>
      <c r="CE28" s="4">
        <f t="shared" si="726"/>
        <v>0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>
        <f t="shared" si="727"/>
        <v>0</v>
      </c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>
        <f t="shared" si="728"/>
        <v>0</v>
      </c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>
        <f t="shared" si="729"/>
        <v>0</v>
      </c>
      <c r="DS28" s="4">
        <f t="shared" si="730"/>
        <v>0</v>
      </c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>
        <f t="shared" si="731"/>
        <v>0</v>
      </c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>
        <f t="shared" si="732"/>
        <v>0</v>
      </c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>
        <f t="shared" si="733"/>
        <v>0</v>
      </c>
      <c r="FG28" s="4">
        <f t="shared" si="734"/>
        <v>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>
        <f t="shared" si="735"/>
        <v>0</v>
      </c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>
        <f t="shared" si="736"/>
        <v>0</v>
      </c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>
        <f t="shared" si="737"/>
        <v>0</v>
      </c>
      <c r="GU28" s="4">
        <f t="shared" si="738"/>
        <v>0</v>
      </c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>
        <f t="shared" si="739"/>
        <v>0</v>
      </c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>
        <f t="shared" si="740"/>
        <v>0</v>
      </c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>
        <f t="shared" si="741"/>
        <v>0</v>
      </c>
      <c r="II28" s="4">
        <f t="shared" si="742"/>
        <v>0</v>
      </c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>
        <f t="shared" si="743"/>
        <v>0</v>
      </c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>
        <f t="shared" si="744"/>
        <v>0</v>
      </c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>
        <f t="shared" si="745"/>
        <v>0</v>
      </c>
      <c r="JW28" s="4">
        <f t="shared" si="746"/>
        <v>0</v>
      </c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>
        <f t="shared" si="747"/>
        <v>0</v>
      </c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>
        <f t="shared" si="748"/>
        <v>0</v>
      </c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>
        <f t="shared" si="749"/>
        <v>0</v>
      </c>
      <c r="LK28" s="4">
        <f t="shared" si="750"/>
        <v>0</v>
      </c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>
        <f t="shared" si="751"/>
        <v>0</v>
      </c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>
        <f t="shared" si="752"/>
        <v>0</v>
      </c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>
        <f t="shared" si="753"/>
        <v>0</v>
      </c>
      <c r="MY28" s="4">
        <f t="shared" si="754"/>
        <v>0</v>
      </c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>
        <f t="shared" si="755"/>
        <v>0</v>
      </c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>
        <f t="shared" si="756"/>
        <v>0</v>
      </c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>
        <f t="shared" si="757"/>
        <v>0</v>
      </c>
      <c r="OM28" s="4">
        <f t="shared" si="758"/>
        <v>0</v>
      </c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>
        <f t="shared" si="759"/>
        <v>0</v>
      </c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>
        <f t="shared" si="760"/>
        <v>0</v>
      </c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>
        <f t="shared" si="761"/>
        <v>0</v>
      </c>
      <c r="QA28" s="4">
        <f t="shared" si="762"/>
        <v>0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>
        <f t="shared" si="763"/>
        <v>0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>
        <f t="shared" si="764"/>
        <v>0</v>
      </c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>
        <f t="shared" si="765"/>
        <v>0</v>
      </c>
      <c r="RO28" s="4">
        <f t="shared" si="766"/>
        <v>0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>
        <f t="shared" si="767"/>
        <v>0</v>
      </c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>
        <f t="shared" si="768"/>
        <v>0</v>
      </c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f t="shared" si="769"/>
        <v>0</v>
      </c>
      <c r="TC28" s="4">
        <f t="shared" si="770"/>
        <v>0</v>
      </c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>
        <f t="shared" si="771"/>
        <v>0</v>
      </c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>
        <f t="shared" si="772"/>
        <v>0</v>
      </c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>
        <f t="shared" si="773"/>
        <v>0</v>
      </c>
      <c r="UQ28" s="4">
        <f t="shared" si="774"/>
        <v>0</v>
      </c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>
        <f t="shared" si="775"/>
        <v>0</v>
      </c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>
        <f t="shared" si="776"/>
        <v>0</v>
      </c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>
        <f t="shared" si="777"/>
        <v>0</v>
      </c>
      <c r="WE28" s="4">
        <f t="shared" si="778"/>
        <v>0</v>
      </c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>
        <f t="shared" si="779"/>
        <v>0</v>
      </c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>
        <f t="shared" si="780"/>
        <v>0</v>
      </c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>
        <f t="shared" si="781"/>
        <v>0</v>
      </c>
      <c r="XS28" s="4">
        <f t="shared" si="782"/>
        <v>0</v>
      </c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>
        <f t="shared" si="783"/>
        <v>0</v>
      </c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>
        <f t="shared" si="784"/>
        <v>0</v>
      </c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>
        <f t="shared" si="785"/>
        <v>0</v>
      </c>
      <c r="ZG28" s="4">
        <f t="shared" si="786"/>
        <v>0</v>
      </c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>
        <f t="shared" si="787"/>
        <v>0</v>
      </c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>
        <f t="shared" si="788"/>
        <v>0</v>
      </c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>
        <f t="shared" si="789"/>
        <v>0</v>
      </c>
      <c r="AAU28" s="4">
        <f t="shared" si="790"/>
        <v>0</v>
      </c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>
        <f t="shared" si="791"/>
        <v>0</v>
      </c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>
        <f t="shared" si="792"/>
        <v>0</v>
      </c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>
        <f t="shared" si="793"/>
        <v>0</v>
      </c>
      <c r="ACI28" s="4">
        <f t="shared" si="794"/>
        <v>0</v>
      </c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>
        <f t="shared" si="795"/>
        <v>0</v>
      </c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>
        <f t="shared" si="796"/>
        <v>0</v>
      </c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>
        <f t="shared" si="797"/>
        <v>0</v>
      </c>
      <c r="ADW28" s="4">
        <f t="shared" si="798"/>
        <v>0</v>
      </c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>
        <f t="shared" si="799"/>
        <v>0</v>
      </c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>
        <f t="shared" si="800"/>
        <v>0</v>
      </c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>
        <f t="shared" si="801"/>
        <v>0</v>
      </c>
      <c r="AFK28" s="4">
        <f t="shared" si="802"/>
        <v>0</v>
      </c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>
        <f t="shared" si="803"/>
        <v>0</v>
      </c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>
        <f t="shared" si="804"/>
        <v>0</v>
      </c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>
        <f t="shared" si="805"/>
        <v>0</v>
      </c>
      <c r="AGY28" s="4">
        <f t="shared" si="806"/>
        <v>0</v>
      </c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>
        <f t="shared" si="807"/>
        <v>0</v>
      </c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>
        <f t="shared" si="808"/>
        <v>0</v>
      </c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>
        <f t="shared" si="809"/>
        <v>0</v>
      </c>
      <c r="AIM28" s="4">
        <f t="shared" si="810"/>
        <v>0</v>
      </c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>
        <f t="shared" si="811"/>
        <v>0</v>
      </c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>
        <f t="shared" si="812"/>
        <v>0</v>
      </c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>
        <f t="shared" si="813"/>
        <v>0</v>
      </c>
      <c r="AKA28" s="4">
        <f t="shared" si="814"/>
        <v>0</v>
      </c>
      <c r="AKB28" s="13">
        <f t="shared" si="815"/>
        <v>0</v>
      </c>
    </row>
    <row r="29" spans="1:965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719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720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721"/>
        <v>0</v>
      </c>
      <c r="AQ29" s="4">
        <f t="shared" si="722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723"/>
        <v>0</v>
      </c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>
        <f t="shared" si="724"/>
        <v>0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>
        <f t="shared" si="725"/>
        <v>0</v>
      </c>
      <c r="CE29" s="4">
        <f t="shared" si="726"/>
        <v>0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>
        <f t="shared" si="727"/>
        <v>0</v>
      </c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>
        <f t="shared" si="728"/>
        <v>0</v>
      </c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>
        <f t="shared" si="729"/>
        <v>0</v>
      </c>
      <c r="DS29" s="4">
        <f t="shared" si="730"/>
        <v>0</v>
      </c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>
        <f t="shared" si="731"/>
        <v>0</v>
      </c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>
        <f t="shared" si="732"/>
        <v>0</v>
      </c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>
        <f t="shared" si="733"/>
        <v>0</v>
      </c>
      <c r="FG29" s="4">
        <f t="shared" si="734"/>
        <v>0</v>
      </c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>
        <f t="shared" si="735"/>
        <v>0</v>
      </c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>
        <f t="shared" si="736"/>
        <v>0</v>
      </c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>
        <f t="shared" si="737"/>
        <v>0</v>
      </c>
      <c r="GU29" s="4">
        <f t="shared" si="738"/>
        <v>0</v>
      </c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>
        <f t="shared" si="739"/>
        <v>0</v>
      </c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>
        <f t="shared" si="740"/>
        <v>0</v>
      </c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>
        <f t="shared" si="741"/>
        <v>0</v>
      </c>
      <c r="II29" s="4">
        <f t="shared" si="742"/>
        <v>0</v>
      </c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>
        <f t="shared" si="743"/>
        <v>0</v>
      </c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>
        <f t="shared" si="744"/>
        <v>0</v>
      </c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>
        <f t="shared" si="745"/>
        <v>0</v>
      </c>
      <c r="JW29" s="4">
        <f t="shared" si="746"/>
        <v>0</v>
      </c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>
        <f t="shared" si="747"/>
        <v>0</v>
      </c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>
        <f t="shared" si="748"/>
        <v>0</v>
      </c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>
        <f t="shared" si="749"/>
        <v>0</v>
      </c>
      <c r="LK29" s="4">
        <f t="shared" si="750"/>
        <v>0</v>
      </c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>
        <f t="shared" si="751"/>
        <v>0</v>
      </c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>
        <f t="shared" si="752"/>
        <v>0</v>
      </c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>
        <f t="shared" si="753"/>
        <v>0</v>
      </c>
      <c r="MY29" s="4">
        <f t="shared" si="754"/>
        <v>0</v>
      </c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>
        <f t="shared" si="755"/>
        <v>0</v>
      </c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>
        <f t="shared" si="756"/>
        <v>0</v>
      </c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>
        <f t="shared" si="757"/>
        <v>0</v>
      </c>
      <c r="OM29" s="4">
        <f t="shared" si="758"/>
        <v>0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f t="shared" si="759"/>
        <v>0</v>
      </c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>
        <f t="shared" si="760"/>
        <v>0</v>
      </c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>
        <f t="shared" si="761"/>
        <v>0</v>
      </c>
      <c r="QA29" s="4">
        <f t="shared" si="762"/>
        <v>0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>
        <f t="shared" si="763"/>
        <v>0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>
        <f t="shared" si="764"/>
        <v>0</v>
      </c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>
        <f t="shared" si="765"/>
        <v>0</v>
      </c>
      <c r="RO29" s="4">
        <f t="shared" si="766"/>
        <v>0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>
        <f t="shared" si="767"/>
        <v>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>
        <f t="shared" si="768"/>
        <v>0</v>
      </c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f t="shared" si="769"/>
        <v>0</v>
      </c>
      <c r="TC29" s="4">
        <f t="shared" si="770"/>
        <v>0</v>
      </c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>
        <f t="shared" si="771"/>
        <v>0</v>
      </c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>
        <f t="shared" si="772"/>
        <v>0</v>
      </c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>
        <f t="shared" si="773"/>
        <v>0</v>
      </c>
      <c r="UQ29" s="4">
        <f t="shared" si="774"/>
        <v>0</v>
      </c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>
        <f t="shared" si="775"/>
        <v>0</v>
      </c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>
        <f t="shared" si="776"/>
        <v>0</v>
      </c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>
        <f t="shared" si="777"/>
        <v>0</v>
      </c>
      <c r="WE29" s="4">
        <f t="shared" si="778"/>
        <v>0</v>
      </c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>
        <f t="shared" si="779"/>
        <v>0</v>
      </c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>
        <f t="shared" si="780"/>
        <v>0</v>
      </c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>
        <f t="shared" si="781"/>
        <v>0</v>
      </c>
      <c r="XS29" s="4">
        <f t="shared" si="782"/>
        <v>0</v>
      </c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>
        <f t="shared" si="783"/>
        <v>0</v>
      </c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>
        <f t="shared" si="784"/>
        <v>0</v>
      </c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>
        <f t="shared" si="785"/>
        <v>0</v>
      </c>
      <c r="ZG29" s="4">
        <f t="shared" si="786"/>
        <v>0</v>
      </c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>
        <f t="shared" si="787"/>
        <v>0</v>
      </c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>
        <f t="shared" si="788"/>
        <v>0</v>
      </c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>
        <f t="shared" si="789"/>
        <v>0</v>
      </c>
      <c r="AAU29" s="4">
        <f t="shared" si="790"/>
        <v>0</v>
      </c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>
        <f t="shared" si="791"/>
        <v>0</v>
      </c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>
        <f t="shared" si="792"/>
        <v>0</v>
      </c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>
        <f t="shared" si="793"/>
        <v>0</v>
      </c>
      <c r="ACI29" s="4">
        <f t="shared" si="794"/>
        <v>0</v>
      </c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>
        <f t="shared" si="795"/>
        <v>0</v>
      </c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>
        <f t="shared" si="796"/>
        <v>0</v>
      </c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>
        <f t="shared" si="797"/>
        <v>0</v>
      </c>
      <c r="ADW29" s="4">
        <f t="shared" si="798"/>
        <v>0</v>
      </c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>
        <f t="shared" si="799"/>
        <v>0</v>
      </c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>
        <f t="shared" si="800"/>
        <v>0</v>
      </c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>
        <f t="shared" si="801"/>
        <v>0</v>
      </c>
      <c r="AFK29" s="4">
        <f t="shared" si="802"/>
        <v>0</v>
      </c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>
        <f t="shared" si="803"/>
        <v>0</v>
      </c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>
        <f t="shared" si="804"/>
        <v>0</v>
      </c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>
        <f t="shared" si="805"/>
        <v>0</v>
      </c>
      <c r="AGY29" s="4">
        <f t="shared" si="806"/>
        <v>0</v>
      </c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>
        <f t="shared" si="807"/>
        <v>0</v>
      </c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>
        <f t="shared" si="808"/>
        <v>0</v>
      </c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>
        <f t="shared" si="809"/>
        <v>0</v>
      </c>
      <c r="AIM29" s="4">
        <f t="shared" si="810"/>
        <v>0</v>
      </c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>
        <f t="shared" si="811"/>
        <v>0</v>
      </c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>
        <f t="shared" si="812"/>
        <v>0</v>
      </c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>
        <f t="shared" si="813"/>
        <v>0</v>
      </c>
      <c r="AKA29" s="4">
        <f t="shared" si="814"/>
        <v>0</v>
      </c>
      <c r="AKB29" s="13">
        <f t="shared" si="815"/>
        <v>0</v>
      </c>
      <c r="AKC29" s="3">
        <f>SUM(AKB22:AKB29)</f>
        <v>0</v>
      </c>
    </row>
    <row r="30" spans="1:965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719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720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721"/>
        <v>0</v>
      </c>
      <c r="AQ30" s="4">
        <f t="shared" si="722"/>
        <v>0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>
        <f t="shared" si="723"/>
        <v>0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>
        <f t="shared" si="724"/>
        <v>0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>
        <f t="shared" si="725"/>
        <v>0</v>
      </c>
      <c r="CE30" s="4">
        <f t="shared" si="726"/>
        <v>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>
        <f t="shared" si="727"/>
        <v>0</v>
      </c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>
        <f t="shared" si="728"/>
        <v>0</v>
      </c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>
        <f t="shared" si="729"/>
        <v>0</v>
      </c>
      <c r="DS30" s="4">
        <f t="shared" si="730"/>
        <v>0</v>
      </c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>
        <f t="shared" si="731"/>
        <v>0</v>
      </c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>
        <f t="shared" si="732"/>
        <v>0</v>
      </c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>
        <f t="shared" si="733"/>
        <v>0</v>
      </c>
      <c r="FG30" s="4">
        <f t="shared" si="734"/>
        <v>0</v>
      </c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f t="shared" si="735"/>
        <v>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>
        <f t="shared" si="736"/>
        <v>0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>
        <f t="shared" si="737"/>
        <v>0</v>
      </c>
      <c r="GU30" s="4">
        <f t="shared" si="738"/>
        <v>0</v>
      </c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>
        <f t="shared" si="739"/>
        <v>0</v>
      </c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>
        <f t="shared" si="740"/>
        <v>0</v>
      </c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>
        <f t="shared" si="741"/>
        <v>0</v>
      </c>
      <c r="II30" s="4">
        <f t="shared" si="742"/>
        <v>0</v>
      </c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>
        <f t="shared" si="743"/>
        <v>0</v>
      </c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>
        <f t="shared" si="744"/>
        <v>0</v>
      </c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>
        <f t="shared" si="745"/>
        <v>0</v>
      </c>
      <c r="JW30" s="4">
        <f t="shared" si="746"/>
        <v>0</v>
      </c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>
        <f t="shared" si="747"/>
        <v>0</v>
      </c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>
        <f t="shared" si="748"/>
        <v>0</v>
      </c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>
        <f t="shared" si="749"/>
        <v>0</v>
      </c>
      <c r="LK30" s="4">
        <f t="shared" si="750"/>
        <v>0</v>
      </c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>
        <f t="shared" si="751"/>
        <v>0</v>
      </c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>
        <f t="shared" si="752"/>
        <v>0</v>
      </c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>
        <f t="shared" si="753"/>
        <v>0</v>
      </c>
      <c r="MY30" s="4">
        <f t="shared" si="754"/>
        <v>0</v>
      </c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>
        <f t="shared" si="755"/>
        <v>0</v>
      </c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>
        <f t="shared" si="756"/>
        <v>0</v>
      </c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>
        <f t="shared" si="757"/>
        <v>0</v>
      </c>
      <c r="OM30" s="4">
        <f t="shared" si="758"/>
        <v>0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>
        <f t="shared" si="759"/>
        <v>0</v>
      </c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>
        <f t="shared" si="760"/>
        <v>0</v>
      </c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>
        <f t="shared" si="761"/>
        <v>0</v>
      </c>
      <c r="QA30" s="4">
        <f t="shared" si="762"/>
        <v>0</v>
      </c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>
        <f t="shared" si="763"/>
        <v>0</v>
      </c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>
        <f t="shared" si="764"/>
        <v>0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>
        <f t="shared" si="765"/>
        <v>0</v>
      </c>
      <c r="RO30" s="4">
        <f t="shared" si="766"/>
        <v>0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>
        <f t="shared" si="767"/>
        <v>0</v>
      </c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>
        <f t="shared" si="768"/>
        <v>0</v>
      </c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>
        <f t="shared" si="769"/>
        <v>0</v>
      </c>
      <c r="TC30" s="4">
        <f t="shared" si="770"/>
        <v>0</v>
      </c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>
        <f t="shared" si="771"/>
        <v>0</v>
      </c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>
        <f t="shared" si="772"/>
        <v>0</v>
      </c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>
        <f t="shared" si="773"/>
        <v>0</v>
      </c>
      <c r="UQ30" s="4">
        <f t="shared" si="774"/>
        <v>0</v>
      </c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>
        <f t="shared" si="775"/>
        <v>0</v>
      </c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>
        <f t="shared" si="776"/>
        <v>0</v>
      </c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>
        <f t="shared" si="777"/>
        <v>0</v>
      </c>
      <c r="WE30" s="4">
        <f t="shared" si="778"/>
        <v>0</v>
      </c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>
        <f t="shared" si="779"/>
        <v>0</v>
      </c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>
        <f t="shared" si="780"/>
        <v>0</v>
      </c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>
        <f t="shared" si="781"/>
        <v>0</v>
      </c>
      <c r="XS30" s="4">
        <f t="shared" si="782"/>
        <v>0</v>
      </c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>
        <f t="shared" si="783"/>
        <v>0</v>
      </c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>
        <f t="shared" si="784"/>
        <v>0</v>
      </c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>
        <f t="shared" si="785"/>
        <v>0</v>
      </c>
      <c r="ZG30" s="4">
        <f t="shared" si="786"/>
        <v>0</v>
      </c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>
        <f t="shared" si="787"/>
        <v>0</v>
      </c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>
        <f t="shared" si="788"/>
        <v>0</v>
      </c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>
        <f t="shared" si="789"/>
        <v>0</v>
      </c>
      <c r="AAU30" s="4">
        <f t="shared" si="790"/>
        <v>0</v>
      </c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>
        <f t="shared" si="791"/>
        <v>0</v>
      </c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>
        <f t="shared" si="792"/>
        <v>0</v>
      </c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>
        <f t="shared" si="793"/>
        <v>0</v>
      </c>
      <c r="ACI30" s="4">
        <f t="shared" si="794"/>
        <v>0</v>
      </c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>
        <f t="shared" si="795"/>
        <v>0</v>
      </c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>
        <f t="shared" si="796"/>
        <v>0</v>
      </c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>
        <f t="shared" si="797"/>
        <v>0</v>
      </c>
      <c r="ADW30" s="4">
        <f t="shared" si="798"/>
        <v>0</v>
      </c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>
        <f t="shared" si="799"/>
        <v>0</v>
      </c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>
        <f t="shared" si="800"/>
        <v>0</v>
      </c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>
        <f t="shared" si="801"/>
        <v>0</v>
      </c>
      <c r="AFK30" s="4">
        <f t="shared" si="802"/>
        <v>0</v>
      </c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>
        <f t="shared" si="803"/>
        <v>0</v>
      </c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>
        <f t="shared" si="804"/>
        <v>0</v>
      </c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>
        <f t="shared" si="805"/>
        <v>0</v>
      </c>
      <c r="AGY30" s="4">
        <f t="shared" si="806"/>
        <v>0</v>
      </c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>
        <f t="shared" si="807"/>
        <v>0</v>
      </c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>
        <f t="shared" si="808"/>
        <v>0</v>
      </c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>
        <f t="shared" si="809"/>
        <v>0</v>
      </c>
      <c r="AIM30" s="4">
        <f t="shared" si="810"/>
        <v>0</v>
      </c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>
        <f t="shared" si="811"/>
        <v>0</v>
      </c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>
        <f t="shared" si="812"/>
        <v>0</v>
      </c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>
        <f t="shared" si="813"/>
        <v>0</v>
      </c>
      <c r="AKA30" s="4">
        <f t="shared" si="814"/>
        <v>0</v>
      </c>
      <c r="AKB30" s="13">
        <f t="shared" si="815"/>
        <v>0</v>
      </c>
    </row>
    <row r="31" spans="1:965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719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720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721"/>
        <v>0</v>
      </c>
      <c r="AQ31" s="4">
        <f t="shared" si="722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723"/>
        <v>0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>
        <f t="shared" si="724"/>
        <v>0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f t="shared" si="725"/>
        <v>0</v>
      </c>
      <c r="CE31" s="4">
        <f t="shared" si="726"/>
        <v>0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>
        <f t="shared" si="727"/>
        <v>0</v>
      </c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>
        <f t="shared" si="728"/>
        <v>0</v>
      </c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>
        <f t="shared" si="729"/>
        <v>0</v>
      </c>
      <c r="DS31" s="4">
        <f t="shared" si="730"/>
        <v>0</v>
      </c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f t="shared" si="731"/>
        <v>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>
        <f t="shared" si="732"/>
        <v>0</v>
      </c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>
        <f t="shared" si="733"/>
        <v>0</v>
      </c>
      <c r="FG31" s="4">
        <f t="shared" si="734"/>
        <v>0</v>
      </c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f t="shared" si="735"/>
        <v>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>
        <f t="shared" si="736"/>
        <v>0</v>
      </c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>
        <f t="shared" si="737"/>
        <v>0</v>
      </c>
      <c r="GU31" s="4">
        <f t="shared" si="738"/>
        <v>0</v>
      </c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>
        <f t="shared" si="739"/>
        <v>0</v>
      </c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>
        <f t="shared" si="740"/>
        <v>0</v>
      </c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>
        <f t="shared" si="741"/>
        <v>0</v>
      </c>
      <c r="II31" s="4">
        <f t="shared" si="742"/>
        <v>0</v>
      </c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>
        <f t="shared" si="743"/>
        <v>0</v>
      </c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>
        <f t="shared" si="744"/>
        <v>0</v>
      </c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f t="shared" si="745"/>
        <v>0</v>
      </c>
      <c r="JW31" s="4">
        <f t="shared" si="746"/>
        <v>0</v>
      </c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>
        <f t="shared" si="747"/>
        <v>0</v>
      </c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>
        <f t="shared" si="748"/>
        <v>0</v>
      </c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>
        <f t="shared" si="749"/>
        <v>0</v>
      </c>
      <c r="LK31" s="4">
        <f t="shared" si="750"/>
        <v>0</v>
      </c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>
        <f t="shared" si="751"/>
        <v>0</v>
      </c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>
        <f t="shared" si="752"/>
        <v>0</v>
      </c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>
        <f t="shared" si="753"/>
        <v>0</v>
      </c>
      <c r="MY31" s="4">
        <f t="shared" si="754"/>
        <v>0</v>
      </c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>
        <f t="shared" si="755"/>
        <v>0</v>
      </c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>
        <f t="shared" si="756"/>
        <v>0</v>
      </c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>
        <f t="shared" si="757"/>
        <v>0</v>
      </c>
      <c r="OM31" s="4">
        <f t="shared" si="758"/>
        <v>0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>
        <f t="shared" si="759"/>
        <v>0</v>
      </c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>
        <f t="shared" si="760"/>
        <v>0</v>
      </c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>
        <f t="shared" si="761"/>
        <v>0</v>
      </c>
      <c r="QA31" s="4">
        <f t="shared" si="762"/>
        <v>0</v>
      </c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>
        <f t="shared" si="763"/>
        <v>0</v>
      </c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>
        <f t="shared" si="764"/>
        <v>0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>
        <f t="shared" si="765"/>
        <v>0</v>
      </c>
      <c r="RO31" s="4">
        <f t="shared" si="766"/>
        <v>0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>
        <f t="shared" si="767"/>
        <v>0</v>
      </c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>
        <f t="shared" si="768"/>
        <v>0</v>
      </c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>
        <f t="shared" si="769"/>
        <v>0</v>
      </c>
      <c r="TC31" s="4">
        <f t="shared" si="770"/>
        <v>0</v>
      </c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>
        <f t="shared" si="771"/>
        <v>0</v>
      </c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>
        <f t="shared" si="772"/>
        <v>0</v>
      </c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>
        <f t="shared" si="773"/>
        <v>0</v>
      </c>
      <c r="UQ31" s="4">
        <f t="shared" si="774"/>
        <v>0</v>
      </c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>
        <f t="shared" si="775"/>
        <v>0</v>
      </c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>
        <f t="shared" si="776"/>
        <v>0</v>
      </c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>
        <f t="shared" si="777"/>
        <v>0</v>
      </c>
      <c r="WE31" s="4">
        <f t="shared" si="778"/>
        <v>0</v>
      </c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>
        <f t="shared" si="779"/>
        <v>0</v>
      </c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>
        <f t="shared" si="780"/>
        <v>0</v>
      </c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>
        <f t="shared" si="781"/>
        <v>0</v>
      </c>
      <c r="XS31" s="4">
        <f t="shared" si="782"/>
        <v>0</v>
      </c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>
        <f t="shared" si="783"/>
        <v>0</v>
      </c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>
        <f t="shared" si="784"/>
        <v>0</v>
      </c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>
        <f t="shared" si="785"/>
        <v>0</v>
      </c>
      <c r="ZG31" s="4">
        <f t="shared" si="786"/>
        <v>0</v>
      </c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>
        <f t="shared" si="787"/>
        <v>0</v>
      </c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>
        <f t="shared" si="788"/>
        <v>0</v>
      </c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>
        <f t="shared" si="789"/>
        <v>0</v>
      </c>
      <c r="AAU31" s="4">
        <f t="shared" si="790"/>
        <v>0</v>
      </c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>
        <f t="shared" si="791"/>
        <v>0</v>
      </c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>
        <f t="shared" si="792"/>
        <v>0</v>
      </c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>
        <f t="shared" si="793"/>
        <v>0</v>
      </c>
      <c r="ACI31" s="4">
        <f t="shared" si="794"/>
        <v>0</v>
      </c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>
        <f t="shared" si="795"/>
        <v>0</v>
      </c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>
        <f t="shared" si="796"/>
        <v>0</v>
      </c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>
        <f t="shared" si="797"/>
        <v>0</v>
      </c>
      <c r="ADW31" s="4">
        <f t="shared" si="798"/>
        <v>0</v>
      </c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>
        <f t="shared" si="799"/>
        <v>0</v>
      </c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>
        <f t="shared" si="800"/>
        <v>0</v>
      </c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>
        <f t="shared" si="801"/>
        <v>0</v>
      </c>
      <c r="AFK31" s="4">
        <f t="shared" si="802"/>
        <v>0</v>
      </c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>
        <f t="shared" si="803"/>
        <v>0</v>
      </c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>
        <f t="shared" si="804"/>
        <v>0</v>
      </c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>
        <f t="shared" si="805"/>
        <v>0</v>
      </c>
      <c r="AGY31" s="4">
        <f t="shared" si="806"/>
        <v>0</v>
      </c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>
        <f t="shared" si="807"/>
        <v>0</v>
      </c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>
        <f t="shared" si="808"/>
        <v>0</v>
      </c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>
        <f t="shared" si="809"/>
        <v>0</v>
      </c>
      <c r="AIM31" s="4">
        <f t="shared" si="810"/>
        <v>0</v>
      </c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>
        <f t="shared" si="811"/>
        <v>0</v>
      </c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>
        <f t="shared" si="812"/>
        <v>0</v>
      </c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>
        <f t="shared" si="813"/>
        <v>0</v>
      </c>
      <c r="AKA31" s="4">
        <f t="shared" si="814"/>
        <v>0</v>
      </c>
      <c r="AKB31" s="13">
        <f t="shared" si="815"/>
        <v>0</v>
      </c>
    </row>
    <row r="32" spans="1:965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719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720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721"/>
        <v>0</v>
      </c>
      <c r="AQ32" s="4">
        <f t="shared" si="722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723"/>
        <v>0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>
        <f t="shared" si="724"/>
        <v>0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f t="shared" si="725"/>
        <v>0</v>
      </c>
      <c r="CE32" s="4">
        <f t="shared" si="726"/>
        <v>0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>
        <f t="shared" si="727"/>
        <v>0</v>
      </c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>
        <f t="shared" si="728"/>
        <v>0</v>
      </c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>
        <f t="shared" si="729"/>
        <v>0</v>
      </c>
      <c r="DS32" s="4">
        <f t="shared" si="730"/>
        <v>0</v>
      </c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>
        <f t="shared" si="731"/>
        <v>0</v>
      </c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>
        <f t="shared" si="732"/>
        <v>0</v>
      </c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>
        <f t="shared" si="733"/>
        <v>0</v>
      </c>
      <c r="FG32" s="4">
        <f t="shared" si="734"/>
        <v>0</v>
      </c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f t="shared" si="735"/>
        <v>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>
        <f t="shared" si="736"/>
        <v>0</v>
      </c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>
        <f t="shared" si="737"/>
        <v>0</v>
      </c>
      <c r="GU32" s="4">
        <f t="shared" si="738"/>
        <v>0</v>
      </c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>
        <f t="shared" si="739"/>
        <v>0</v>
      </c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>
        <f t="shared" si="740"/>
        <v>0</v>
      </c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>
        <f t="shared" si="741"/>
        <v>0</v>
      </c>
      <c r="II32" s="4">
        <f t="shared" si="742"/>
        <v>0</v>
      </c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>
        <f t="shared" si="743"/>
        <v>0</v>
      </c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>
        <f t="shared" si="744"/>
        <v>0</v>
      </c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>
        <f t="shared" si="745"/>
        <v>0</v>
      </c>
      <c r="JW32" s="4">
        <f t="shared" si="746"/>
        <v>0</v>
      </c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>
        <f t="shared" si="747"/>
        <v>0</v>
      </c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>
        <f t="shared" si="748"/>
        <v>0</v>
      </c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>
        <f t="shared" si="749"/>
        <v>0</v>
      </c>
      <c r="LK32" s="4">
        <f t="shared" si="750"/>
        <v>0</v>
      </c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>
        <f t="shared" si="751"/>
        <v>0</v>
      </c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>
        <f t="shared" si="752"/>
        <v>0</v>
      </c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>
        <f t="shared" si="753"/>
        <v>0</v>
      </c>
      <c r="MY32" s="4">
        <f t="shared" si="754"/>
        <v>0</v>
      </c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>
        <f t="shared" si="755"/>
        <v>0</v>
      </c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>
        <f t="shared" si="756"/>
        <v>0</v>
      </c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>
        <f t="shared" si="757"/>
        <v>0</v>
      </c>
      <c r="OM32" s="4">
        <f t="shared" si="758"/>
        <v>0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f t="shared" si="759"/>
        <v>0</v>
      </c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>
        <f t="shared" si="760"/>
        <v>0</v>
      </c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>
        <f t="shared" si="761"/>
        <v>0</v>
      </c>
      <c r="QA32" s="4">
        <f t="shared" si="762"/>
        <v>0</v>
      </c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>
        <f t="shared" si="763"/>
        <v>0</v>
      </c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>
        <f t="shared" si="764"/>
        <v>0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>
        <f t="shared" si="765"/>
        <v>0</v>
      </c>
      <c r="RO32" s="4">
        <f t="shared" si="766"/>
        <v>0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f t="shared" si="767"/>
        <v>0</v>
      </c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>
        <f t="shared" si="768"/>
        <v>0</v>
      </c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>
        <f t="shared" si="769"/>
        <v>0</v>
      </c>
      <c r="TC32" s="4">
        <f t="shared" si="770"/>
        <v>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>
        <f t="shared" si="771"/>
        <v>0</v>
      </c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>
        <f t="shared" si="772"/>
        <v>0</v>
      </c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>
        <f t="shared" si="773"/>
        <v>0</v>
      </c>
      <c r="UQ32" s="4">
        <f t="shared" si="774"/>
        <v>0</v>
      </c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>
        <f t="shared" si="775"/>
        <v>0</v>
      </c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>
        <f t="shared" si="776"/>
        <v>0</v>
      </c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>
        <f t="shared" si="777"/>
        <v>0</v>
      </c>
      <c r="WE32" s="4">
        <f t="shared" si="778"/>
        <v>0</v>
      </c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>
        <f t="shared" si="779"/>
        <v>0</v>
      </c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>
        <f t="shared" si="780"/>
        <v>0</v>
      </c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>
        <f t="shared" si="781"/>
        <v>0</v>
      </c>
      <c r="XS32" s="4">
        <f t="shared" si="782"/>
        <v>0</v>
      </c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>
        <f t="shared" si="783"/>
        <v>0</v>
      </c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>
        <f t="shared" si="784"/>
        <v>0</v>
      </c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>
        <f t="shared" si="785"/>
        <v>0</v>
      </c>
      <c r="ZG32" s="4">
        <f t="shared" si="786"/>
        <v>0</v>
      </c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>
        <f t="shared" si="787"/>
        <v>0</v>
      </c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>
        <f t="shared" si="788"/>
        <v>0</v>
      </c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>
        <f t="shared" si="789"/>
        <v>0</v>
      </c>
      <c r="AAU32" s="4">
        <f t="shared" si="790"/>
        <v>0</v>
      </c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>
        <f t="shared" si="791"/>
        <v>0</v>
      </c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>
        <f t="shared" si="792"/>
        <v>0</v>
      </c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>
        <f t="shared" si="793"/>
        <v>0</v>
      </c>
      <c r="ACI32" s="4">
        <f t="shared" si="794"/>
        <v>0</v>
      </c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>
        <f t="shared" si="795"/>
        <v>0</v>
      </c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>
        <f t="shared" si="796"/>
        <v>0</v>
      </c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>
        <f t="shared" si="797"/>
        <v>0</v>
      </c>
      <c r="ADW32" s="4">
        <f t="shared" si="798"/>
        <v>0</v>
      </c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>
        <f t="shared" si="799"/>
        <v>0</v>
      </c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>
        <f t="shared" si="800"/>
        <v>0</v>
      </c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>
        <f t="shared" si="801"/>
        <v>0</v>
      </c>
      <c r="AFK32" s="4">
        <f t="shared" si="802"/>
        <v>0</v>
      </c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>
        <f t="shared" si="803"/>
        <v>0</v>
      </c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>
        <f t="shared" si="804"/>
        <v>0</v>
      </c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>
        <f t="shared" si="805"/>
        <v>0</v>
      </c>
      <c r="AGY32" s="4">
        <f t="shared" si="806"/>
        <v>0</v>
      </c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>
        <f t="shared" si="807"/>
        <v>0</v>
      </c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>
        <f t="shared" si="808"/>
        <v>0</v>
      </c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>
        <f t="shared" si="809"/>
        <v>0</v>
      </c>
      <c r="AIM32" s="4">
        <f t="shared" si="810"/>
        <v>0</v>
      </c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>
        <f t="shared" si="811"/>
        <v>0</v>
      </c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>
        <f t="shared" si="812"/>
        <v>0</v>
      </c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>
        <f t="shared" si="813"/>
        <v>0</v>
      </c>
      <c r="AKA32" s="4">
        <f t="shared" si="814"/>
        <v>0</v>
      </c>
      <c r="AKB32" s="13">
        <f t="shared" si="815"/>
        <v>0</v>
      </c>
    </row>
    <row r="33" spans="1:965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719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720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721"/>
        <v>0</v>
      </c>
      <c r="AQ33" s="4">
        <f t="shared" si="722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723"/>
        <v>0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f t="shared" si="724"/>
        <v>0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>
        <f t="shared" si="725"/>
        <v>0</v>
      </c>
      <c r="CE33" s="4">
        <f t="shared" si="726"/>
        <v>0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>
        <f t="shared" si="727"/>
        <v>0</v>
      </c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>
        <f t="shared" si="728"/>
        <v>0</v>
      </c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>
        <f t="shared" si="729"/>
        <v>0</v>
      </c>
      <c r="DS33" s="4">
        <f t="shared" si="730"/>
        <v>0</v>
      </c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>
        <f t="shared" si="731"/>
        <v>0</v>
      </c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>
        <f t="shared" si="732"/>
        <v>0</v>
      </c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>
        <f t="shared" si="733"/>
        <v>0</v>
      </c>
      <c r="FG33" s="4">
        <f t="shared" si="734"/>
        <v>0</v>
      </c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f t="shared" si="735"/>
        <v>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>
        <f t="shared" si="736"/>
        <v>0</v>
      </c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>
        <f t="shared" si="737"/>
        <v>0</v>
      </c>
      <c r="GU33" s="4">
        <f t="shared" si="738"/>
        <v>0</v>
      </c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>
        <f t="shared" si="739"/>
        <v>0</v>
      </c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>
        <f t="shared" si="740"/>
        <v>0</v>
      </c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>
        <f t="shared" si="741"/>
        <v>0</v>
      </c>
      <c r="II33" s="4">
        <f t="shared" si="742"/>
        <v>0</v>
      </c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>
        <f t="shared" si="743"/>
        <v>0</v>
      </c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>
        <f t="shared" si="744"/>
        <v>0</v>
      </c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>
        <f t="shared" si="745"/>
        <v>0</v>
      </c>
      <c r="JW33" s="4">
        <f t="shared" si="746"/>
        <v>0</v>
      </c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>
        <f t="shared" si="747"/>
        <v>0</v>
      </c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>
        <f t="shared" si="748"/>
        <v>0</v>
      </c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>
        <f t="shared" si="749"/>
        <v>0</v>
      </c>
      <c r="LK33" s="4">
        <f t="shared" si="750"/>
        <v>0</v>
      </c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>
        <f t="shared" si="751"/>
        <v>0</v>
      </c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>
        <f t="shared" si="752"/>
        <v>0</v>
      </c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>
        <f t="shared" si="753"/>
        <v>0</v>
      </c>
      <c r="MY33" s="4">
        <f t="shared" si="754"/>
        <v>0</v>
      </c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>
        <f t="shared" si="755"/>
        <v>0</v>
      </c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>
        <f t="shared" si="756"/>
        <v>0</v>
      </c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>
        <f t="shared" si="757"/>
        <v>0</v>
      </c>
      <c r="OM33" s="4">
        <f t="shared" si="758"/>
        <v>0</v>
      </c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>
        <f t="shared" si="759"/>
        <v>0</v>
      </c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>
        <f t="shared" si="760"/>
        <v>0</v>
      </c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>
        <f t="shared" si="761"/>
        <v>0</v>
      </c>
      <c r="QA33" s="4">
        <f t="shared" si="762"/>
        <v>0</v>
      </c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>
        <f t="shared" si="763"/>
        <v>0</v>
      </c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>
        <f t="shared" si="764"/>
        <v>0</v>
      </c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>
        <f t="shared" si="765"/>
        <v>0</v>
      </c>
      <c r="RO33" s="4">
        <f t="shared" si="766"/>
        <v>0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f t="shared" si="767"/>
        <v>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>
        <f t="shared" si="768"/>
        <v>0</v>
      </c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>
        <f t="shared" si="769"/>
        <v>0</v>
      </c>
      <c r="TC33" s="4">
        <f t="shared" si="770"/>
        <v>0</v>
      </c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>
        <f t="shared" si="771"/>
        <v>0</v>
      </c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>
        <f t="shared" si="772"/>
        <v>0</v>
      </c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>
        <f t="shared" si="773"/>
        <v>0</v>
      </c>
      <c r="UQ33" s="4">
        <f t="shared" si="774"/>
        <v>0</v>
      </c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>
        <f t="shared" si="775"/>
        <v>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>
        <f t="shared" si="776"/>
        <v>0</v>
      </c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>
        <f t="shared" si="777"/>
        <v>0</v>
      </c>
      <c r="WE33" s="4">
        <f t="shared" si="778"/>
        <v>0</v>
      </c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>
        <f t="shared" si="779"/>
        <v>0</v>
      </c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>
        <f t="shared" si="780"/>
        <v>0</v>
      </c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>
        <f t="shared" si="781"/>
        <v>0</v>
      </c>
      <c r="XS33" s="4">
        <f t="shared" si="782"/>
        <v>0</v>
      </c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>
        <f t="shared" si="783"/>
        <v>0</v>
      </c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>
        <f t="shared" si="784"/>
        <v>0</v>
      </c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>
        <f t="shared" si="785"/>
        <v>0</v>
      </c>
      <c r="ZG33" s="4">
        <f t="shared" si="786"/>
        <v>0</v>
      </c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>
        <f t="shared" si="787"/>
        <v>0</v>
      </c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>
        <f t="shared" si="788"/>
        <v>0</v>
      </c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>
        <f t="shared" si="789"/>
        <v>0</v>
      </c>
      <c r="AAU33" s="4">
        <f t="shared" si="790"/>
        <v>0</v>
      </c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>
        <f t="shared" si="791"/>
        <v>0</v>
      </c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>
        <f t="shared" si="792"/>
        <v>0</v>
      </c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>
        <f t="shared" si="793"/>
        <v>0</v>
      </c>
      <c r="ACI33" s="4">
        <f t="shared" si="794"/>
        <v>0</v>
      </c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>
        <f t="shared" si="795"/>
        <v>0</v>
      </c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>
        <f t="shared" si="796"/>
        <v>0</v>
      </c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>
        <f t="shared" si="797"/>
        <v>0</v>
      </c>
      <c r="ADW33" s="4">
        <f t="shared" si="798"/>
        <v>0</v>
      </c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>
        <f t="shared" si="799"/>
        <v>0</v>
      </c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>
        <f t="shared" si="800"/>
        <v>0</v>
      </c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>
        <f t="shared" si="801"/>
        <v>0</v>
      </c>
      <c r="AFK33" s="4">
        <f t="shared" si="802"/>
        <v>0</v>
      </c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>
        <f t="shared" si="803"/>
        <v>0</v>
      </c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>
        <f t="shared" si="804"/>
        <v>0</v>
      </c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>
        <f t="shared" si="805"/>
        <v>0</v>
      </c>
      <c r="AGY33" s="4">
        <f t="shared" si="806"/>
        <v>0</v>
      </c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>
        <f t="shared" si="807"/>
        <v>0</v>
      </c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>
        <f t="shared" si="808"/>
        <v>0</v>
      </c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>
        <f t="shared" si="809"/>
        <v>0</v>
      </c>
      <c r="AIM33" s="4">
        <f t="shared" si="810"/>
        <v>0</v>
      </c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>
        <f t="shared" si="811"/>
        <v>0</v>
      </c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>
        <f t="shared" si="812"/>
        <v>0</v>
      </c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>
        <f t="shared" si="813"/>
        <v>0</v>
      </c>
      <c r="AKA33" s="4">
        <f t="shared" si="814"/>
        <v>0</v>
      </c>
      <c r="AKB33" s="13">
        <f t="shared" si="815"/>
        <v>0</v>
      </c>
    </row>
    <row r="34" spans="1:965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719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720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721"/>
        <v>0</v>
      </c>
      <c r="AQ34" s="4">
        <f t="shared" si="722"/>
        <v>0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723"/>
        <v>0</v>
      </c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>
        <f t="shared" si="724"/>
        <v>0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>
        <f t="shared" si="725"/>
        <v>0</v>
      </c>
      <c r="CE34" s="4">
        <f t="shared" si="726"/>
        <v>0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>
        <f t="shared" si="727"/>
        <v>0</v>
      </c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>
        <f t="shared" si="728"/>
        <v>0</v>
      </c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>
        <f t="shared" si="729"/>
        <v>0</v>
      </c>
      <c r="DS34" s="4">
        <f t="shared" si="730"/>
        <v>0</v>
      </c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>
        <f t="shared" si="731"/>
        <v>0</v>
      </c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>
        <f t="shared" si="732"/>
        <v>0</v>
      </c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>
        <f t="shared" si="733"/>
        <v>0</v>
      </c>
      <c r="FG34" s="4">
        <f t="shared" si="734"/>
        <v>0</v>
      </c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f t="shared" si="735"/>
        <v>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>
        <f t="shared" si="736"/>
        <v>0</v>
      </c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>
        <f t="shared" si="737"/>
        <v>0</v>
      </c>
      <c r="GU34" s="4">
        <f t="shared" si="738"/>
        <v>0</v>
      </c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>
        <f t="shared" si="739"/>
        <v>0</v>
      </c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>
        <f t="shared" si="740"/>
        <v>0</v>
      </c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>
        <f t="shared" si="741"/>
        <v>0</v>
      </c>
      <c r="II34" s="4">
        <f t="shared" si="742"/>
        <v>0</v>
      </c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>
        <f t="shared" si="743"/>
        <v>0</v>
      </c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>
        <f t="shared" si="744"/>
        <v>0</v>
      </c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>
        <f t="shared" si="745"/>
        <v>0</v>
      </c>
      <c r="JW34" s="4">
        <f t="shared" si="746"/>
        <v>0</v>
      </c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>
        <f t="shared" si="747"/>
        <v>0</v>
      </c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>
        <f t="shared" si="748"/>
        <v>0</v>
      </c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>
        <f t="shared" si="749"/>
        <v>0</v>
      </c>
      <c r="LK34" s="4">
        <f t="shared" si="750"/>
        <v>0</v>
      </c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>
        <f t="shared" si="751"/>
        <v>0</v>
      </c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>
        <f t="shared" si="752"/>
        <v>0</v>
      </c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>
        <f t="shared" si="753"/>
        <v>0</v>
      </c>
      <c r="MY34" s="4">
        <f t="shared" si="754"/>
        <v>0</v>
      </c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>
        <f t="shared" si="755"/>
        <v>0</v>
      </c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>
        <f t="shared" si="756"/>
        <v>0</v>
      </c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>
        <f t="shared" si="757"/>
        <v>0</v>
      </c>
      <c r="OM34" s="4">
        <f t="shared" si="758"/>
        <v>0</v>
      </c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>
        <f t="shared" si="759"/>
        <v>0</v>
      </c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>
        <f t="shared" si="760"/>
        <v>0</v>
      </c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>
        <f t="shared" si="761"/>
        <v>0</v>
      </c>
      <c r="QA34" s="4">
        <f t="shared" si="762"/>
        <v>0</v>
      </c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>
        <f t="shared" si="763"/>
        <v>0</v>
      </c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>
        <f t="shared" si="764"/>
        <v>0</v>
      </c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>
        <f t="shared" si="765"/>
        <v>0</v>
      </c>
      <c r="RO34" s="4">
        <f t="shared" si="766"/>
        <v>0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>
        <f t="shared" si="767"/>
        <v>0</v>
      </c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>
        <f t="shared" si="768"/>
        <v>0</v>
      </c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>
        <f t="shared" si="769"/>
        <v>0</v>
      </c>
      <c r="TC34" s="4">
        <f t="shared" si="770"/>
        <v>0</v>
      </c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>
        <f t="shared" si="771"/>
        <v>0</v>
      </c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>
        <f t="shared" si="772"/>
        <v>0</v>
      </c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>
        <f t="shared" si="773"/>
        <v>0</v>
      </c>
      <c r="UQ34" s="4">
        <f t="shared" si="774"/>
        <v>0</v>
      </c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>
        <f t="shared" si="775"/>
        <v>0</v>
      </c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>
        <f t="shared" si="776"/>
        <v>0</v>
      </c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>
        <f t="shared" si="777"/>
        <v>0</v>
      </c>
      <c r="WE34" s="4">
        <f t="shared" si="778"/>
        <v>0</v>
      </c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>
        <f t="shared" si="779"/>
        <v>0</v>
      </c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>
        <f t="shared" si="780"/>
        <v>0</v>
      </c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>
        <f t="shared" si="781"/>
        <v>0</v>
      </c>
      <c r="XS34" s="4">
        <f t="shared" si="782"/>
        <v>0</v>
      </c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>
        <f t="shared" si="783"/>
        <v>0</v>
      </c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>
        <f t="shared" si="784"/>
        <v>0</v>
      </c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>
        <f t="shared" si="785"/>
        <v>0</v>
      </c>
      <c r="ZG34" s="4">
        <f t="shared" si="786"/>
        <v>0</v>
      </c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>
        <f t="shared" si="787"/>
        <v>0</v>
      </c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>
        <f t="shared" si="788"/>
        <v>0</v>
      </c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>
        <f t="shared" si="789"/>
        <v>0</v>
      </c>
      <c r="AAU34" s="4">
        <f t="shared" si="790"/>
        <v>0</v>
      </c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>
        <f t="shared" si="791"/>
        <v>0</v>
      </c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>
        <f t="shared" si="792"/>
        <v>0</v>
      </c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>
        <f t="shared" si="793"/>
        <v>0</v>
      </c>
      <c r="ACI34" s="4">
        <f t="shared" si="794"/>
        <v>0</v>
      </c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>
        <f t="shared" si="795"/>
        <v>0</v>
      </c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>
        <f t="shared" si="796"/>
        <v>0</v>
      </c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>
        <f t="shared" si="797"/>
        <v>0</v>
      </c>
      <c r="ADW34" s="4">
        <f t="shared" si="798"/>
        <v>0</v>
      </c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>
        <f t="shared" si="799"/>
        <v>0</v>
      </c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>
        <f t="shared" si="800"/>
        <v>0</v>
      </c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>
        <f t="shared" si="801"/>
        <v>0</v>
      </c>
      <c r="AFK34" s="4">
        <f t="shared" si="802"/>
        <v>0</v>
      </c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>
        <f t="shared" si="803"/>
        <v>0</v>
      </c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>
        <f t="shared" si="804"/>
        <v>0</v>
      </c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>
        <f t="shared" si="805"/>
        <v>0</v>
      </c>
      <c r="AGY34" s="4">
        <f t="shared" si="806"/>
        <v>0</v>
      </c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>
        <f t="shared" si="807"/>
        <v>0</v>
      </c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>
        <f t="shared" si="808"/>
        <v>0</v>
      </c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>
        <f t="shared" si="809"/>
        <v>0</v>
      </c>
      <c r="AIM34" s="4">
        <f t="shared" si="810"/>
        <v>0</v>
      </c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>
        <f t="shared" si="811"/>
        <v>0</v>
      </c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>
        <f t="shared" si="812"/>
        <v>0</v>
      </c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>
        <f t="shared" si="813"/>
        <v>0</v>
      </c>
      <c r="AKA34" s="4">
        <f t="shared" si="814"/>
        <v>0</v>
      </c>
      <c r="AKB34" s="13">
        <f t="shared" si="815"/>
        <v>0</v>
      </c>
    </row>
    <row r="35" spans="1:965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719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720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721"/>
        <v>0</v>
      </c>
      <c r="AQ35" s="4">
        <f t="shared" si="722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723"/>
        <v>0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4">
        <f t="shared" si="724"/>
        <v>0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4">
        <f t="shared" si="725"/>
        <v>0</v>
      </c>
      <c r="CE35" s="4">
        <f t="shared" si="726"/>
        <v>0</v>
      </c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4">
        <f t="shared" si="727"/>
        <v>0</v>
      </c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4">
        <f t="shared" si="728"/>
        <v>0</v>
      </c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4">
        <f t="shared" si="729"/>
        <v>0</v>
      </c>
      <c r="DS35" s="4">
        <f t="shared" si="730"/>
        <v>0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4">
        <f t="shared" si="731"/>
        <v>0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4">
        <f t="shared" si="732"/>
        <v>0</v>
      </c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4">
        <f t="shared" si="733"/>
        <v>0</v>
      </c>
      <c r="FG35" s="4">
        <f t="shared" si="734"/>
        <v>0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4">
        <f t="shared" si="735"/>
        <v>0</v>
      </c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4">
        <f t="shared" si="736"/>
        <v>0</v>
      </c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4">
        <f t="shared" si="737"/>
        <v>0</v>
      </c>
      <c r="GU35" s="4">
        <f t="shared" si="738"/>
        <v>0</v>
      </c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4">
        <f t="shared" si="739"/>
        <v>0</v>
      </c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4">
        <f t="shared" si="740"/>
        <v>0</v>
      </c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4">
        <f t="shared" si="741"/>
        <v>0</v>
      </c>
      <c r="II35" s="4">
        <f t="shared" si="742"/>
        <v>0</v>
      </c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4">
        <f t="shared" si="743"/>
        <v>0</v>
      </c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4">
        <f t="shared" si="744"/>
        <v>0</v>
      </c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4">
        <f t="shared" si="745"/>
        <v>0</v>
      </c>
      <c r="JW35" s="4">
        <f t="shared" si="746"/>
        <v>0</v>
      </c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4">
        <f t="shared" si="747"/>
        <v>0</v>
      </c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4">
        <f t="shared" si="748"/>
        <v>0</v>
      </c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4">
        <f t="shared" si="749"/>
        <v>0</v>
      </c>
      <c r="LK35" s="4">
        <f t="shared" si="750"/>
        <v>0</v>
      </c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4">
        <f t="shared" si="751"/>
        <v>0</v>
      </c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4">
        <f t="shared" si="752"/>
        <v>0</v>
      </c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4">
        <f t="shared" si="753"/>
        <v>0</v>
      </c>
      <c r="MY35" s="4">
        <f t="shared" si="754"/>
        <v>0</v>
      </c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4">
        <f t="shared" si="755"/>
        <v>0</v>
      </c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4">
        <f t="shared" si="756"/>
        <v>0</v>
      </c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4">
        <f t="shared" si="757"/>
        <v>0</v>
      </c>
      <c r="OM35" s="4">
        <f t="shared" si="758"/>
        <v>0</v>
      </c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4">
        <f t="shared" si="759"/>
        <v>0</v>
      </c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4">
        <f t="shared" si="760"/>
        <v>0</v>
      </c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4">
        <f t="shared" si="761"/>
        <v>0</v>
      </c>
      <c r="QA35" s="4">
        <f t="shared" si="762"/>
        <v>0</v>
      </c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4">
        <f t="shared" si="763"/>
        <v>0</v>
      </c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4">
        <f t="shared" si="764"/>
        <v>0</v>
      </c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4">
        <f t="shared" si="765"/>
        <v>0</v>
      </c>
      <c r="RO35" s="4">
        <f t="shared" si="766"/>
        <v>0</v>
      </c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4">
        <f t="shared" si="767"/>
        <v>0</v>
      </c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4">
        <f t="shared" si="768"/>
        <v>0</v>
      </c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4">
        <f t="shared" si="769"/>
        <v>0</v>
      </c>
      <c r="TC35" s="4">
        <f t="shared" si="770"/>
        <v>0</v>
      </c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4">
        <f t="shared" si="771"/>
        <v>0</v>
      </c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4">
        <f t="shared" si="772"/>
        <v>0</v>
      </c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4">
        <f t="shared" si="773"/>
        <v>0</v>
      </c>
      <c r="UQ35" s="4">
        <f t="shared" si="774"/>
        <v>0</v>
      </c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4">
        <f t="shared" si="775"/>
        <v>0</v>
      </c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4">
        <f t="shared" si="776"/>
        <v>0</v>
      </c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4">
        <f t="shared" si="777"/>
        <v>0</v>
      </c>
      <c r="WE35" s="4">
        <f t="shared" si="778"/>
        <v>0</v>
      </c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4">
        <f t="shared" si="779"/>
        <v>0</v>
      </c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4">
        <f t="shared" si="780"/>
        <v>0</v>
      </c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4">
        <f t="shared" si="781"/>
        <v>0</v>
      </c>
      <c r="XS35" s="4">
        <f t="shared" si="782"/>
        <v>0</v>
      </c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4">
        <f t="shared" si="783"/>
        <v>0</v>
      </c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4">
        <f t="shared" si="784"/>
        <v>0</v>
      </c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4">
        <f t="shared" si="785"/>
        <v>0</v>
      </c>
      <c r="ZG35" s="4">
        <f t="shared" si="786"/>
        <v>0</v>
      </c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4">
        <f t="shared" si="787"/>
        <v>0</v>
      </c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4">
        <f t="shared" si="788"/>
        <v>0</v>
      </c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4">
        <f t="shared" si="789"/>
        <v>0</v>
      </c>
      <c r="AAU35" s="4">
        <f t="shared" si="790"/>
        <v>0</v>
      </c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4">
        <f t="shared" si="791"/>
        <v>0</v>
      </c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4">
        <f t="shared" si="792"/>
        <v>0</v>
      </c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4">
        <f t="shared" si="793"/>
        <v>0</v>
      </c>
      <c r="ACI35" s="4">
        <f t="shared" si="794"/>
        <v>0</v>
      </c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4">
        <f t="shared" si="795"/>
        <v>0</v>
      </c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4">
        <f t="shared" si="796"/>
        <v>0</v>
      </c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4">
        <f t="shared" si="797"/>
        <v>0</v>
      </c>
      <c r="ADW35" s="4">
        <f t="shared" si="798"/>
        <v>0</v>
      </c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4">
        <f t="shared" si="799"/>
        <v>0</v>
      </c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4">
        <f t="shared" si="800"/>
        <v>0</v>
      </c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4">
        <f t="shared" si="801"/>
        <v>0</v>
      </c>
      <c r="AFK35" s="4">
        <f t="shared" si="802"/>
        <v>0</v>
      </c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4">
        <f t="shared" si="803"/>
        <v>0</v>
      </c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4">
        <f t="shared" si="804"/>
        <v>0</v>
      </c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4">
        <f t="shared" si="805"/>
        <v>0</v>
      </c>
      <c r="AGY35" s="4">
        <f t="shared" si="806"/>
        <v>0</v>
      </c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4">
        <f t="shared" si="807"/>
        <v>0</v>
      </c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4">
        <f t="shared" si="808"/>
        <v>0</v>
      </c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4">
        <f t="shared" si="809"/>
        <v>0</v>
      </c>
      <c r="AIM35" s="4">
        <f t="shared" si="810"/>
        <v>0</v>
      </c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4">
        <f t="shared" si="811"/>
        <v>0</v>
      </c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4">
        <f t="shared" si="812"/>
        <v>0</v>
      </c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4">
        <f t="shared" si="813"/>
        <v>0</v>
      </c>
      <c r="AKA35" s="4">
        <f t="shared" si="814"/>
        <v>0</v>
      </c>
      <c r="AKB35" s="13">
        <f t="shared" si="815"/>
        <v>0</v>
      </c>
    </row>
    <row r="36" spans="1:965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719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720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721"/>
        <v>0</v>
      </c>
      <c r="AQ36" s="4">
        <f t="shared" si="722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723"/>
        <v>0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4">
        <f t="shared" si="724"/>
        <v>0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4">
        <f t="shared" si="725"/>
        <v>0</v>
      </c>
      <c r="CE36" s="4">
        <f t="shared" si="726"/>
        <v>0</v>
      </c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4">
        <f t="shared" si="727"/>
        <v>0</v>
      </c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4">
        <f t="shared" si="728"/>
        <v>0</v>
      </c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4">
        <f t="shared" si="729"/>
        <v>0</v>
      </c>
      <c r="DS36" s="4">
        <f t="shared" si="730"/>
        <v>0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4">
        <f t="shared" si="731"/>
        <v>0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4">
        <f t="shared" si="732"/>
        <v>0</v>
      </c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4">
        <f t="shared" si="733"/>
        <v>0</v>
      </c>
      <c r="FG36" s="4">
        <f t="shared" si="734"/>
        <v>0</v>
      </c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4">
        <f t="shared" si="735"/>
        <v>0</v>
      </c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4">
        <f t="shared" si="736"/>
        <v>0</v>
      </c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4">
        <f t="shared" si="737"/>
        <v>0</v>
      </c>
      <c r="GU36" s="4">
        <f t="shared" si="738"/>
        <v>0</v>
      </c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4">
        <f t="shared" si="739"/>
        <v>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4">
        <f t="shared" si="740"/>
        <v>0</v>
      </c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4">
        <f t="shared" si="741"/>
        <v>0</v>
      </c>
      <c r="II36" s="4">
        <f t="shared" si="742"/>
        <v>0</v>
      </c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4">
        <f t="shared" si="743"/>
        <v>0</v>
      </c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4">
        <f t="shared" si="744"/>
        <v>0</v>
      </c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4">
        <f t="shared" si="745"/>
        <v>0</v>
      </c>
      <c r="JW36" s="4">
        <f t="shared" si="746"/>
        <v>0</v>
      </c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4">
        <f t="shared" si="747"/>
        <v>0</v>
      </c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4">
        <f t="shared" si="748"/>
        <v>0</v>
      </c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4">
        <f t="shared" si="749"/>
        <v>0</v>
      </c>
      <c r="LK36" s="4">
        <f t="shared" si="750"/>
        <v>0</v>
      </c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4">
        <f t="shared" si="751"/>
        <v>0</v>
      </c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4">
        <f t="shared" si="752"/>
        <v>0</v>
      </c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4">
        <f t="shared" si="753"/>
        <v>0</v>
      </c>
      <c r="MY36" s="4">
        <f t="shared" si="754"/>
        <v>0</v>
      </c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4">
        <f t="shared" si="755"/>
        <v>0</v>
      </c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4">
        <f t="shared" si="756"/>
        <v>0</v>
      </c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4">
        <f t="shared" si="757"/>
        <v>0</v>
      </c>
      <c r="OM36" s="4">
        <f t="shared" si="758"/>
        <v>0</v>
      </c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4">
        <f t="shared" si="759"/>
        <v>0</v>
      </c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4">
        <f t="shared" si="760"/>
        <v>0</v>
      </c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4">
        <f t="shared" si="761"/>
        <v>0</v>
      </c>
      <c r="QA36" s="4">
        <f t="shared" si="762"/>
        <v>0</v>
      </c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4">
        <f t="shared" si="763"/>
        <v>0</v>
      </c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4">
        <f t="shared" si="764"/>
        <v>0</v>
      </c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4">
        <f t="shared" si="765"/>
        <v>0</v>
      </c>
      <c r="RO36" s="4">
        <f t="shared" si="766"/>
        <v>0</v>
      </c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4">
        <f t="shared" si="767"/>
        <v>0</v>
      </c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4">
        <f t="shared" si="768"/>
        <v>0</v>
      </c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4">
        <f t="shared" si="769"/>
        <v>0</v>
      </c>
      <c r="TC36" s="4">
        <f t="shared" si="770"/>
        <v>0</v>
      </c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4">
        <f t="shared" si="771"/>
        <v>0</v>
      </c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4">
        <f t="shared" si="772"/>
        <v>0</v>
      </c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4">
        <f t="shared" si="773"/>
        <v>0</v>
      </c>
      <c r="UQ36" s="4">
        <f t="shared" si="774"/>
        <v>0</v>
      </c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4">
        <f t="shared" si="775"/>
        <v>0</v>
      </c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4">
        <f t="shared" si="776"/>
        <v>0</v>
      </c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4">
        <f t="shared" si="777"/>
        <v>0</v>
      </c>
      <c r="WE36" s="4">
        <f t="shared" si="778"/>
        <v>0</v>
      </c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4">
        <f t="shared" si="779"/>
        <v>0</v>
      </c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4">
        <f t="shared" si="780"/>
        <v>0</v>
      </c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4">
        <f t="shared" si="781"/>
        <v>0</v>
      </c>
      <c r="XS36" s="4">
        <f t="shared" si="782"/>
        <v>0</v>
      </c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4">
        <f t="shared" si="783"/>
        <v>0</v>
      </c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4">
        <f t="shared" si="784"/>
        <v>0</v>
      </c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4">
        <f t="shared" si="785"/>
        <v>0</v>
      </c>
      <c r="ZG36" s="4">
        <f t="shared" si="786"/>
        <v>0</v>
      </c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4">
        <f t="shared" si="787"/>
        <v>0</v>
      </c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4">
        <f t="shared" si="788"/>
        <v>0</v>
      </c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4">
        <f t="shared" si="789"/>
        <v>0</v>
      </c>
      <c r="AAU36" s="4">
        <f t="shared" si="790"/>
        <v>0</v>
      </c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4">
        <f t="shared" si="791"/>
        <v>0</v>
      </c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4">
        <f t="shared" si="792"/>
        <v>0</v>
      </c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4">
        <f t="shared" si="793"/>
        <v>0</v>
      </c>
      <c r="ACI36" s="4">
        <f t="shared" si="794"/>
        <v>0</v>
      </c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4">
        <f t="shared" si="795"/>
        <v>0</v>
      </c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4">
        <f t="shared" si="796"/>
        <v>0</v>
      </c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4">
        <f t="shared" si="797"/>
        <v>0</v>
      </c>
      <c r="ADW36" s="4">
        <f t="shared" si="798"/>
        <v>0</v>
      </c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4">
        <f t="shared" si="799"/>
        <v>0</v>
      </c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4">
        <f t="shared" si="800"/>
        <v>0</v>
      </c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4">
        <f t="shared" si="801"/>
        <v>0</v>
      </c>
      <c r="AFK36" s="4">
        <f t="shared" si="802"/>
        <v>0</v>
      </c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4">
        <f t="shared" si="803"/>
        <v>0</v>
      </c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4">
        <f t="shared" si="804"/>
        <v>0</v>
      </c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4">
        <f t="shared" si="805"/>
        <v>0</v>
      </c>
      <c r="AGY36" s="4">
        <f t="shared" si="806"/>
        <v>0</v>
      </c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4">
        <f t="shared" si="807"/>
        <v>0</v>
      </c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4">
        <f t="shared" si="808"/>
        <v>0</v>
      </c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4">
        <f t="shared" si="809"/>
        <v>0</v>
      </c>
      <c r="AIM36" s="4">
        <f t="shared" si="810"/>
        <v>0</v>
      </c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4">
        <f t="shared" si="811"/>
        <v>0</v>
      </c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4">
        <f t="shared" si="812"/>
        <v>0</v>
      </c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4">
        <f t="shared" si="813"/>
        <v>0</v>
      </c>
      <c r="AKA36" s="4">
        <f t="shared" si="814"/>
        <v>0</v>
      </c>
      <c r="AKB36" s="13">
        <f t="shared" si="815"/>
        <v>0</v>
      </c>
    </row>
    <row r="37" spans="1:965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719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720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721"/>
        <v>0</v>
      </c>
      <c r="AQ37" s="4">
        <f t="shared" si="722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723"/>
        <v>0</v>
      </c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4">
        <f t="shared" si="724"/>
        <v>0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4">
        <f t="shared" si="725"/>
        <v>0</v>
      </c>
      <c r="CE37" s="4">
        <f t="shared" si="726"/>
        <v>0</v>
      </c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4">
        <f t="shared" si="727"/>
        <v>0</v>
      </c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4">
        <f t="shared" si="728"/>
        <v>0</v>
      </c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4">
        <f t="shared" si="729"/>
        <v>0</v>
      </c>
      <c r="DS37" s="4">
        <f t="shared" si="730"/>
        <v>0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4">
        <f t="shared" si="731"/>
        <v>0</v>
      </c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4">
        <f t="shared" si="732"/>
        <v>0</v>
      </c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4">
        <f t="shared" si="733"/>
        <v>0</v>
      </c>
      <c r="FG37" s="4">
        <f t="shared" si="734"/>
        <v>0</v>
      </c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4">
        <f t="shared" si="735"/>
        <v>0</v>
      </c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4">
        <f t="shared" si="736"/>
        <v>0</v>
      </c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4">
        <f t="shared" si="737"/>
        <v>0</v>
      </c>
      <c r="GU37" s="4">
        <f t="shared" si="738"/>
        <v>0</v>
      </c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4">
        <f t="shared" si="739"/>
        <v>0</v>
      </c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4">
        <f t="shared" si="740"/>
        <v>0</v>
      </c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4">
        <f t="shared" si="741"/>
        <v>0</v>
      </c>
      <c r="II37" s="4">
        <f t="shared" si="742"/>
        <v>0</v>
      </c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4">
        <f t="shared" si="743"/>
        <v>0</v>
      </c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4">
        <f t="shared" si="744"/>
        <v>0</v>
      </c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4">
        <f t="shared" si="745"/>
        <v>0</v>
      </c>
      <c r="JW37" s="4">
        <f t="shared" si="746"/>
        <v>0</v>
      </c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4">
        <f t="shared" si="747"/>
        <v>0</v>
      </c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4">
        <f t="shared" si="748"/>
        <v>0</v>
      </c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4">
        <f t="shared" si="749"/>
        <v>0</v>
      </c>
      <c r="LK37" s="4">
        <f t="shared" si="750"/>
        <v>0</v>
      </c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4">
        <f t="shared" si="751"/>
        <v>0</v>
      </c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4">
        <f t="shared" si="752"/>
        <v>0</v>
      </c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4">
        <f t="shared" si="753"/>
        <v>0</v>
      </c>
      <c r="MY37" s="4">
        <f t="shared" si="754"/>
        <v>0</v>
      </c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4">
        <f t="shared" si="755"/>
        <v>0</v>
      </c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4">
        <f t="shared" si="756"/>
        <v>0</v>
      </c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4">
        <f t="shared" si="757"/>
        <v>0</v>
      </c>
      <c r="OM37" s="4">
        <f t="shared" si="758"/>
        <v>0</v>
      </c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4">
        <f t="shared" si="759"/>
        <v>0</v>
      </c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4">
        <f t="shared" si="760"/>
        <v>0</v>
      </c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4">
        <f t="shared" si="761"/>
        <v>0</v>
      </c>
      <c r="QA37" s="4">
        <f t="shared" si="762"/>
        <v>0</v>
      </c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4">
        <f t="shared" si="763"/>
        <v>0</v>
      </c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4">
        <f t="shared" si="764"/>
        <v>0</v>
      </c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4">
        <f t="shared" si="765"/>
        <v>0</v>
      </c>
      <c r="RO37" s="4">
        <f t="shared" si="766"/>
        <v>0</v>
      </c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4">
        <f t="shared" si="767"/>
        <v>0</v>
      </c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4">
        <f t="shared" si="768"/>
        <v>0</v>
      </c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4">
        <f t="shared" si="769"/>
        <v>0</v>
      </c>
      <c r="TC37" s="4">
        <f t="shared" si="770"/>
        <v>0</v>
      </c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4">
        <f t="shared" si="771"/>
        <v>0</v>
      </c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4">
        <f t="shared" si="772"/>
        <v>0</v>
      </c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4">
        <f t="shared" si="773"/>
        <v>0</v>
      </c>
      <c r="UQ37" s="4">
        <f t="shared" si="774"/>
        <v>0</v>
      </c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4">
        <f t="shared" si="775"/>
        <v>0</v>
      </c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4">
        <f t="shared" si="776"/>
        <v>0</v>
      </c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4">
        <f t="shared" si="777"/>
        <v>0</v>
      </c>
      <c r="WE37" s="4">
        <f t="shared" si="778"/>
        <v>0</v>
      </c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4">
        <f t="shared" si="779"/>
        <v>0</v>
      </c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4">
        <f t="shared" si="780"/>
        <v>0</v>
      </c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4">
        <f t="shared" si="781"/>
        <v>0</v>
      </c>
      <c r="XS37" s="4">
        <f t="shared" si="782"/>
        <v>0</v>
      </c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4">
        <f t="shared" si="783"/>
        <v>0</v>
      </c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4">
        <f t="shared" si="784"/>
        <v>0</v>
      </c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4">
        <f t="shared" si="785"/>
        <v>0</v>
      </c>
      <c r="ZG37" s="4">
        <f t="shared" si="786"/>
        <v>0</v>
      </c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4">
        <f t="shared" si="787"/>
        <v>0</v>
      </c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4">
        <f t="shared" si="788"/>
        <v>0</v>
      </c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4">
        <f t="shared" si="789"/>
        <v>0</v>
      </c>
      <c r="AAU37" s="4">
        <f t="shared" si="790"/>
        <v>0</v>
      </c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4">
        <f t="shared" si="791"/>
        <v>0</v>
      </c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4">
        <f t="shared" si="792"/>
        <v>0</v>
      </c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4">
        <f t="shared" si="793"/>
        <v>0</v>
      </c>
      <c r="ACI37" s="4">
        <f t="shared" si="794"/>
        <v>0</v>
      </c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4">
        <f t="shared" si="795"/>
        <v>0</v>
      </c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4">
        <f t="shared" si="796"/>
        <v>0</v>
      </c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4">
        <f t="shared" si="797"/>
        <v>0</v>
      </c>
      <c r="ADW37" s="4">
        <f t="shared" si="798"/>
        <v>0</v>
      </c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4">
        <f t="shared" si="799"/>
        <v>0</v>
      </c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4">
        <f t="shared" si="800"/>
        <v>0</v>
      </c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4">
        <f t="shared" si="801"/>
        <v>0</v>
      </c>
      <c r="AFK37" s="4">
        <f t="shared" si="802"/>
        <v>0</v>
      </c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4">
        <f t="shared" si="803"/>
        <v>0</v>
      </c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4">
        <f t="shared" si="804"/>
        <v>0</v>
      </c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4">
        <f t="shared" si="805"/>
        <v>0</v>
      </c>
      <c r="AGY37" s="4">
        <f t="shared" si="806"/>
        <v>0</v>
      </c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4">
        <f t="shared" si="807"/>
        <v>0</v>
      </c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4">
        <f t="shared" si="808"/>
        <v>0</v>
      </c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4">
        <f t="shared" si="809"/>
        <v>0</v>
      </c>
      <c r="AIM37" s="4">
        <f t="shared" si="810"/>
        <v>0</v>
      </c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4">
        <f t="shared" si="811"/>
        <v>0</v>
      </c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4">
        <f t="shared" si="812"/>
        <v>0</v>
      </c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4">
        <f t="shared" si="813"/>
        <v>0</v>
      </c>
      <c r="AKA37" s="4">
        <f t="shared" si="814"/>
        <v>0</v>
      </c>
      <c r="AKB37" s="13">
        <f t="shared" si="815"/>
        <v>0</v>
      </c>
      <c r="AKC37" s="3">
        <f>SUM(AKB30:AKB37)</f>
        <v>0</v>
      </c>
    </row>
    <row r="38" spans="1:965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719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720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721"/>
        <v>0</v>
      </c>
      <c r="AQ38" s="4">
        <f t="shared" si="722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723"/>
        <v>0</v>
      </c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4">
        <f t="shared" si="724"/>
        <v>0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4">
        <f t="shared" si="725"/>
        <v>0</v>
      </c>
      <c r="CE38" s="4">
        <f t="shared" si="726"/>
        <v>0</v>
      </c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4">
        <f t="shared" si="727"/>
        <v>0</v>
      </c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4">
        <f t="shared" si="728"/>
        <v>0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4">
        <f t="shared" si="729"/>
        <v>0</v>
      </c>
      <c r="DS38" s="4">
        <f t="shared" si="730"/>
        <v>0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4">
        <f t="shared" si="731"/>
        <v>0</v>
      </c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4">
        <f t="shared" si="732"/>
        <v>0</v>
      </c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4">
        <f t="shared" si="733"/>
        <v>0</v>
      </c>
      <c r="FG38" s="4">
        <f t="shared" si="734"/>
        <v>0</v>
      </c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4">
        <f t="shared" si="735"/>
        <v>0</v>
      </c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4">
        <f t="shared" si="736"/>
        <v>0</v>
      </c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4">
        <f t="shared" si="737"/>
        <v>0</v>
      </c>
      <c r="GU38" s="4">
        <f t="shared" si="738"/>
        <v>0</v>
      </c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4">
        <f t="shared" si="739"/>
        <v>0</v>
      </c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4">
        <f t="shared" si="740"/>
        <v>0</v>
      </c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4">
        <f t="shared" si="741"/>
        <v>0</v>
      </c>
      <c r="II38" s="4">
        <f t="shared" si="742"/>
        <v>0</v>
      </c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4">
        <f t="shared" si="743"/>
        <v>0</v>
      </c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4">
        <f t="shared" si="744"/>
        <v>0</v>
      </c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4">
        <f t="shared" si="745"/>
        <v>0</v>
      </c>
      <c r="JW38" s="4">
        <f t="shared" si="746"/>
        <v>0</v>
      </c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4">
        <f t="shared" si="747"/>
        <v>0</v>
      </c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4">
        <f t="shared" si="748"/>
        <v>0</v>
      </c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4">
        <f t="shared" si="749"/>
        <v>0</v>
      </c>
      <c r="LK38" s="4">
        <f t="shared" si="750"/>
        <v>0</v>
      </c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4">
        <f t="shared" si="751"/>
        <v>0</v>
      </c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4">
        <f t="shared" si="752"/>
        <v>0</v>
      </c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4">
        <f t="shared" si="753"/>
        <v>0</v>
      </c>
      <c r="MY38" s="4">
        <f t="shared" si="754"/>
        <v>0</v>
      </c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4">
        <f t="shared" si="755"/>
        <v>0</v>
      </c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4">
        <f t="shared" si="756"/>
        <v>0</v>
      </c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4">
        <f t="shared" si="757"/>
        <v>0</v>
      </c>
      <c r="OM38" s="4">
        <f t="shared" si="758"/>
        <v>0</v>
      </c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4">
        <f t="shared" si="759"/>
        <v>0</v>
      </c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4">
        <f t="shared" si="760"/>
        <v>0</v>
      </c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4">
        <f t="shared" si="761"/>
        <v>0</v>
      </c>
      <c r="QA38" s="4">
        <f t="shared" si="762"/>
        <v>0</v>
      </c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4">
        <f t="shared" si="763"/>
        <v>0</v>
      </c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4">
        <f t="shared" si="764"/>
        <v>0</v>
      </c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4">
        <f t="shared" si="765"/>
        <v>0</v>
      </c>
      <c r="RO38" s="4">
        <f t="shared" si="766"/>
        <v>0</v>
      </c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4">
        <f t="shared" si="767"/>
        <v>0</v>
      </c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4">
        <f t="shared" si="768"/>
        <v>0</v>
      </c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4">
        <f t="shared" si="769"/>
        <v>0</v>
      </c>
      <c r="TC38" s="4">
        <f t="shared" si="770"/>
        <v>0</v>
      </c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4">
        <f t="shared" si="771"/>
        <v>0</v>
      </c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4">
        <f t="shared" si="772"/>
        <v>0</v>
      </c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4">
        <f t="shared" si="773"/>
        <v>0</v>
      </c>
      <c r="UQ38" s="4">
        <f t="shared" si="774"/>
        <v>0</v>
      </c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4">
        <f t="shared" si="775"/>
        <v>0</v>
      </c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4">
        <f t="shared" si="776"/>
        <v>0</v>
      </c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4">
        <f t="shared" si="777"/>
        <v>0</v>
      </c>
      <c r="WE38" s="4">
        <f t="shared" si="778"/>
        <v>0</v>
      </c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4">
        <f t="shared" si="779"/>
        <v>0</v>
      </c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4">
        <f t="shared" si="780"/>
        <v>0</v>
      </c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4">
        <f t="shared" si="781"/>
        <v>0</v>
      </c>
      <c r="XS38" s="4">
        <f t="shared" si="782"/>
        <v>0</v>
      </c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4">
        <f t="shared" si="783"/>
        <v>0</v>
      </c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4">
        <f t="shared" si="784"/>
        <v>0</v>
      </c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4">
        <f t="shared" si="785"/>
        <v>0</v>
      </c>
      <c r="ZG38" s="4">
        <f t="shared" si="786"/>
        <v>0</v>
      </c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4">
        <f t="shared" si="787"/>
        <v>0</v>
      </c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4">
        <f t="shared" si="788"/>
        <v>0</v>
      </c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4">
        <f t="shared" si="789"/>
        <v>0</v>
      </c>
      <c r="AAU38" s="4">
        <f t="shared" si="790"/>
        <v>0</v>
      </c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4">
        <f t="shared" si="791"/>
        <v>0</v>
      </c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4">
        <f t="shared" si="792"/>
        <v>0</v>
      </c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4">
        <f t="shared" si="793"/>
        <v>0</v>
      </c>
      <c r="ACI38" s="4">
        <f t="shared" si="794"/>
        <v>0</v>
      </c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4">
        <f t="shared" si="795"/>
        <v>0</v>
      </c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4">
        <f t="shared" si="796"/>
        <v>0</v>
      </c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4">
        <f t="shared" si="797"/>
        <v>0</v>
      </c>
      <c r="ADW38" s="4">
        <f t="shared" si="798"/>
        <v>0</v>
      </c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4">
        <f t="shared" si="799"/>
        <v>0</v>
      </c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4">
        <f t="shared" si="800"/>
        <v>0</v>
      </c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4">
        <f t="shared" si="801"/>
        <v>0</v>
      </c>
      <c r="AFK38" s="4">
        <f t="shared" si="802"/>
        <v>0</v>
      </c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4">
        <f t="shared" si="803"/>
        <v>0</v>
      </c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4">
        <f t="shared" si="804"/>
        <v>0</v>
      </c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4">
        <f t="shared" si="805"/>
        <v>0</v>
      </c>
      <c r="AGY38" s="4">
        <f t="shared" si="806"/>
        <v>0</v>
      </c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4">
        <f t="shared" si="807"/>
        <v>0</v>
      </c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4">
        <f t="shared" si="808"/>
        <v>0</v>
      </c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4">
        <f t="shared" si="809"/>
        <v>0</v>
      </c>
      <c r="AIM38" s="4">
        <f t="shared" si="810"/>
        <v>0</v>
      </c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4">
        <f t="shared" si="811"/>
        <v>0</v>
      </c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4">
        <f t="shared" si="812"/>
        <v>0</v>
      </c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4">
        <f t="shared" si="813"/>
        <v>0</v>
      </c>
      <c r="AKA38" s="4">
        <f t="shared" si="814"/>
        <v>0</v>
      </c>
      <c r="AKB38" s="13">
        <f t="shared" si="815"/>
        <v>0</v>
      </c>
    </row>
    <row r="39" spans="1:965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719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720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721"/>
        <v>0</v>
      </c>
      <c r="AQ39" s="4">
        <f t="shared" si="722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723"/>
        <v>0</v>
      </c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4">
        <f t="shared" si="724"/>
        <v>0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4">
        <f t="shared" si="725"/>
        <v>0</v>
      </c>
      <c r="CE39" s="4">
        <f t="shared" si="726"/>
        <v>0</v>
      </c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4">
        <f t="shared" si="727"/>
        <v>0</v>
      </c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4">
        <f t="shared" si="728"/>
        <v>0</v>
      </c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4">
        <f t="shared" si="729"/>
        <v>0</v>
      </c>
      <c r="DS39" s="4">
        <f t="shared" si="730"/>
        <v>0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4">
        <f t="shared" si="731"/>
        <v>0</v>
      </c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4">
        <f t="shared" si="732"/>
        <v>0</v>
      </c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4">
        <f t="shared" si="733"/>
        <v>0</v>
      </c>
      <c r="FG39" s="4">
        <f t="shared" si="734"/>
        <v>0</v>
      </c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4">
        <f t="shared" si="735"/>
        <v>0</v>
      </c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4">
        <f t="shared" si="736"/>
        <v>0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4">
        <f t="shared" si="737"/>
        <v>0</v>
      </c>
      <c r="GU39" s="4">
        <f t="shared" si="738"/>
        <v>0</v>
      </c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4">
        <f t="shared" si="739"/>
        <v>0</v>
      </c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4">
        <f t="shared" si="740"/>
        <v>0</v>
      </c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4">
        <f t="shared" si="741"/>
        <v>0</v>
      </c>
      <c r="II39" s="4">
        <f t="shared" si="742"/>
        <v>0</v>
      </c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4">
        <f t="shared" si="743"/>
        <v>0</v>
      </c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4">
        <f t="shared" si="744"/>
        <v>0</v>
      </c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4">
        <f t="shared" si="745"/>
        <v>0</v>
      </c>
      <c r="JW39" s="4">
        <f t="shared" si="746"/>
        <v>0</v>
      </c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4">
        <f t="shared" si="747"/>
        <v>0</v>
      </c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4">
        <f t="shared" si="748"/>
        <v>0</v>
      </c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4">
        <f t="shared" si="749"/>
        <v>0</v>
      </c>
      <c r="LK39" s="4">
        <f t="shared" si="750"/>
        <v>0</v>
      </c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4">
        <f t="shared" si="751"/>
        <v>0</v>
      </c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4">
        <f t="shared" si="752"/>
        <v>0</v>
      </c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4">
        <f t="shared" si="753"/>
        <v>0</v>
      </c>
      <c r="MY39" s="4">
        <f t="shared" si="754"/>
        <v>0</v>
      </c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4">
        <f t="shared" si="755"/>
        <v>0</v>
      </c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4">
        <f t="shared" si="756"/>
        <v>0</v>
      </c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4">
        <f t="shared" si="757"/>
        <v>0</v>
      </c>
      <c r="OM39" s="4">
        <f t="shared" si="758"/>
        <v>0</v>
      </c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4">
        <f t="shared" si="759"/>
        <v>0</v>
      </c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4">
        <f t="shared" si="760"/>
        <v>0</v>
      </c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4">
        <f t="shared" si="761"/>
        <v>0</v>
      </c>
      <c r="QA39" s="4">
        <f t="shared" si="762"/>
        <v>0</v>
      </c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4">
        <f t="shared" si="763"/>
        <v>0</v>
      </c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4">
        <f t="shared" si="764"/>
        <v>0</v>
      </c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4">
        <f t="shared" si="765"/>
        <v>0</v>
      </c>
      <c r="RO39" s="4">
        <f t="shared" si="766"/>
        <v>0</v>
      </c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4">
        <f t="shared" si="767"/>
        <v>0</v>
      </c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4">
        <f t="shared" si="768"/>
        <v>0</v>
      </c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4">
        <f t="shared" si="769"/>
        <v>0</v>
      </c>
      <c r="TC39" s="4">
        <f t="shared" si="770"/>
        <v>0</v>
      </c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4">
        <f t="shared" si="771"/>
        <v>0</v>
      </c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4">
        <f t="shared" si="772"/>
        <v>0</v>
      </c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4">
        <f t="shared" si="773"/>
        <v>0</v>
      </c>
      <c r="UQ39" s="4">
        <f t="shared" si="774"/>
        <v>0</v>
      </c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4">
        <f t="shared" si="775"/>
        <v>0</v>
      </c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4">
        <f t="shared" si="776"/>
        <v>0</v>
      </c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4">
        <f t="shared" si="777"/>
        <v>0</v>
      </c>
      <c r="WE39" s="4">
        <f t="shared" si="778"/>
        <v>0</v>
      </c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4">
        <f t="shared" si="779"/>
        <v>0</v>
      </c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4">
        <f t="shared" si="780"/>
        <v>0</v>
      </c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4">
        <f t="shared" si="781"/>
        <v>0</v>
      </c>
      <c r="XS39" s="4">
        <f t="shared" si="782"/>
        <v>0</v>
      </c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4">
        <f t="shared" si="783"/>
        <v>0</v>
      </c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4">
        <f t="shared" si="784"/>
        <v>0</v>
      </c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4">
        <f t="shared" si="785"/>
        <v>0</v>
      </c>
      <c r="ZG39" s="4">
        <f t="shared" si="786"/>
        <v>0</v>
      </c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4">
        <f t="shared" si="787"/>
        <v>0</v>
      </c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4">
        <f t="shared" si="788"/>
        <v>0</v>
      </c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4">
        <f t="shared" si="789"/>
        <v>0</v>
      </c>
      <c r="AAU39" s="4">
        <f t="shared" si="790"/>
        <v>0</v>
      </c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4">
        <f t="shared" si="791"/>
        <v>0</v>
      </c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4">
        <f t="shared" si="792"/>
        <v>0</v>
      </c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4">
        <f t="shared" si="793"/>
        <v>0</v>
      </c>
      <c r="ACI39" s="4">
        <f t="shared" si="794"/>
        <v>0</v>
      </c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4">
        <f t="shared" si="795"/>
        <v>0</v>
      </c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4">
        <f t="shared" si="796"/>
        <v>0</v>
      </c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4">
        <f t="shared" si="797"/>
        <v>0</v>
      </c>
      <c r="ADW39" s="4">
        <f t="shared" si="798"/>
        <v>0</v>
      </c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4">
        <f t="shared" si="799"/>
        <v>0</v>
      </c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4">
        <f t="shared" si="800"/>
        <v>0</v>
      </c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4">
        <f t="shared" si="801"/>
        <v>0</v>
      </c>
      <c r="AFK39" s="4">
        <f t="shared" si="802"/>
        <v>0</v>
      </c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4">
        <f t="shared" si="803"/>
        <v>0</v>
      </c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4">
        <f t="shared" si="804"/>
        <v>0</v>
      </c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4">
        <f t="shared" si="805"/>
        <v>0</v>
      </c>
      <c r="AGY39" s="4">
        <f t="shared" si="806"/>
        <v>0</v>
      </c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4">
        <f t="shared" si="807"/>
        <v>0</v>
      </c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4">
        <f t="shared" si="808"/>
        <v>0</v>
      </c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4">
        <f t="shared" si="809"/>
        <v>0</v>
      </c>
      <c r="AIM39" s="4">
        <f t="shared" si="810"/>
        <v>0</v>
      </c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4">
        <f t="shared" si="811"/>
        <v>0</v>
      </c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4">
        <f t="shared" si="812"/>
        <v>0</v>
      </c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4">
        <f t="shared" si="813"/>
        <v>0</v>
      </c>
      <c r="AKA39" s="4">
        <f t="shared" si="814"/>
        <v>0</v>
      </c>
      <c r="AKB39" s="13">
        <f t="shared" si="815"/>
        <v>0</v>
      </c>
    </row>
    <row r="40" spans="1:965" s="10" customFormat="1" ht="21.75" thickBot="1" x14ac:dyDescent="0.4">
      <c r="A40" s="8"/>
      <c r="B40" s="8"/>
      <c r="C40" s="8"/>
      <c r="D40" s="9">
        <f>SUM(D6:D39)</f>
        <v>20610</v>
      </c>
      <c r="E40" s="9">
        <f t="shared" ref="E40:O40" si="816">SUM(E6:E39)</f>
        <v>20610</v>
      </c>
      <c r="F40" s="9">
        <f t="shared" si="816"/>
        <v>20610</v>
      </c>
      <c r="G40" s="9">
        <f t="shared" si="816"/>
        <v>20610</v>
      </c>
      <c r="H40" s="9">
        <f t="shared" si="816"/>
        <v>20610</v>
      </c>
      <c r="I40" s="9">
        <f t="shared" si="816"/>
        <v>20610</v>
      </c>
      <c r="J40" s="9">
        <f t="shared" si="816"/>
        <v>27610</v>
      </c>
      <c r="K40" s="9">
        <f t="shared" si="816"/>
        <v>21610</v>
      </c>
      <c r="L40" s="9">
        <f t="shared" si="816"/>
        <v>21610</v>
      </c>
      <c r="M40" s="9">
        <f t="shared" si="816"/>
        <v>21610</v>
      </c>
      <c r="N40" s="9">
        <f t="shared" si="816"/>
        <v>21610</v>
      </c>
      <c r="O40" s="9">
        <f t="shared" si="816"/>
        <v>21610</v>
      </c>
      <c r="P40" s="25">
        <f t="shared" si="719"/>
        <v>259320</v>
      </c>
      <c r="Q40" s="9">
        <f>SUM(Q6:Q39)</f>
        <v>750</v>
      </c>
      <c r="R40" s="9">
        <f t="shared" ref="R40:AB40" si="817">SUM(R6:R39)</f>
        <v>750</v>
      </c>
      <c r="S40" s="9">
        <f t="shared" si="817"/>
        <v>168850</v>
      </c>
      <c r="T40" s="9">
        <f t="shared" si="817"/>
        <v>750</v>
      </c>
      <c r="U40" s="9">
        <f t="shared" si="817"/>
        <v>2532.77</v>
      </c>
      <c r="V40" s="9">
        <f t="shared" si="817"/>
        <v>750</v>
      </c>
      <c r="W40" s="9">
        <f t="shared" si="817"/>
        <v>750</v>
      </c>
      <c r="X40" s="9">
        <f t="shared" si="817"/>
        <v>750</v>
      </c>
      <c r="Y40" s="9">
        <f t="shared" si="817"/>
        <v>750</v>
      </c>
      <c r="Z40" s="9">
        <f t="shared" si="817"/>
        <v>750</v>
      </c>
      <c r="AA40" s="9">
        <f t="shared" si="817"/>
        <v>750</v>
      </c>
      <c r="AB40" s="9">
        <f t="shared" si="817"/>
        <v>750</v>
      </c>
      <c r="AC40" s="25">
        <f t="shared" si="720"/>
        <v>178882.77</v>
      </c>
      <c r="AD40" s="9">
        <f>SUM(AD6:AD39)</f>
        <v>0</v>
      </c>
      <c r="AE40" s="9">
        <f t="shared" ref="AE40:AO40" si="818">SUM(AE6:AE39)</f>
        <v>0</v>
      </c>
      <c r="AF40" s="9">
        <f t="shared" si="818"/>
        <v>6687.5</v>
      </c>
      <c r="AG40" s="9">
        <f t="shared" si="818"/>
        <v>0</v>
      </c>
      <c r="AH40" s="9">
        <f t="shared" si="818"/>
        <v>0</v>
      </c>
      <c r="AI40" s="9">
        <f t="shared" si="818"/>
        <v>0</v>
      </c>
      <c r="AJ40" s="9">
        <f t="shared" si="818"/>
        <v>0</v>
      </c>
      <c r="AK40" s="9">
        <f t="shared" si="818"/>
        <v>6698.2</v>
      </c>
      <c r="AL40" s="9">
        <f t="shared" si="818"/>
        <v>6815.9</v>
      </c>
      <c r="AM40" s="9">
        <f t="shared" si="818"/>
        <v>0</v>
      </c>
      <c r="AN40" s="9">
        <f t="shared" si="818"/>
        <v>0</v>
      </c>
      <c r="AO40" s="9">
        <f t="shared" si="818"/>
        <v>6789.15</v>
      </c>
      <c r="AP40" s="25">
        <f t="shared" si="721"/>
        <v>26990.75</v>
      </c>
      <c r="AQ40" s="25">
        <f t="shared" si="722"/>
        <v>465193.52</v>
      </c>
      <c r="AR40" s="9">
        <f>SUM(AR6:AR39)</f>
        <v>120930</v>
      </c>
      <c r="AS40" s="9">
        <f t="shared" ref="AS40:BC40" si="819">SUM(AS6:AS39)</f>
        <v>120930</v>
      </c>
      <c r="AT40" s="9">
        <f t="shared" si="819"/>
        <v>120930</v>
      </c>
      <c r="AU40" s="9">
        <f t="shared" si="819"/>
        <v>120930</v>
      </c>
      <c r="AV40" s="9">
        <f t="shared" si="819"/>
        <v>120930</v>
      </c>
      <c r="AW40" s="9">
        <f t="shared" si="819"/>
        <v>120930</v>
      </c>
      <c r="AX40" s="9">
        <f t="shared" si="819"/>
        <v>163140</v>
      </c>
      <c r="AY40" s="9">
        <f t="shared" si="819"/>
        <v>126960</v>
      </c>
      <c r="AZ40" s="9">
        <f t="shared" si="819"/>
        <v>126960</v>
      </c>
      <c r="BA40" s="9">
        <f t="shared" si="819"/>
        <v>126960</v>
      </c>
      <c r="BB40" s="9">
        <f t="shared" si="819"/>
        <v>126960</v>
      </c>
      <c r="BC40" s="9">
        <f t="shared" si="819"/>
        <v>126960</v>
      </c>
      <c r="BD40" s="25">
        <f t="shared" si="723"/>
        <v>1523520</v>
      </c>
      <c r="BE40" s="9">
        <f>SUM(BE6:BE39)</f>
        <v>3750</v>
      </c>
      <c r="BF40" s="9">
        <f t="shared" ref="BF40:BP40" si="820">SUM(BF6:BF39)</f>
        <v>3750</v>
      </c>
      <c r="BG40" s="9">
        <f t="shared" si="820"/>
        <v>3750</v>
      </c>
      <c r="BH40" s="9">
        <f t="shared" si="820"/>
        <v>3750</v>
      </c>
      <c r="BI40" s="9">
        <f t="shared" si="820"/>
        <v>3750</v>
      </c>
      <c r="BJ40" s="9">
        <f t="shared" si="820"/>
        <v>3750</v>
      </c>
      <c r="BK40" s="9">
        <f t="shared" si="820"/>
        <v>3750</v>
      </c>
      <c r="BL40" s="9">
        <f t="shared" si="820"/>
        <v>3750</v>
      </c>
      <c r="BM40" s="9">
        <f t="shared" si="820"/>
        <v>3750</v>
      </c>
      <c r="BN40" s="9">
        <f t="shared" si="820"/>
        <v>3750</v>
      </c>
      <c r="BO40" s="9">
        <f t="shared" si="820"/>
        <v>3750</v>
      </c>
      <c r="BP40" s="9">
        <f t="shared" si="820"/>
        <v>3750</v>
      </c>
      <c r="BQ40" s="25">
        <f t="shared" si="724"/>
        <v>45000</v>
      </c>
      <c r="BR40" s="9">
        <f>SUM(BR6:BR39)</f>
        <v>2912</v>
      </c>
      <c r="BS40" s="9">
        <f t="shared" ref="BS40:CC40" si="821">SUM(BS6:BS39)</f>
        <v>2912</v>
      </c>
      <c r="BT40" s="9">
        <f t="shared" si="821"/>
        <v>2912</v>
      </c>
      <c r="BU40" s="9">
        <f t="shared" si="821"/>
        <v>2912</v>
      </c>
      <c r="BV40" s="9">
        <f t="shared" si="821"/>
        <v>2912</v>
      </c>
      <c r="BW40" s="9">
        <f t="shared" si="821"/>
        <v>2912</v>
      </c>
      <c r="BX40" s="9">
        <f t="shared" si="821"/>
        <v>3921</v>
      </c>
      <c r="BY40" s="9">
        <f t="shared" si="821"/>
        <v>3057</v>
      </c>
      <c r="BZ40" s="9">
        <f t="shared" si="821"/>
        <v>3057</v>
      </c>
      <c r="CA40" s="9">
        <f t="shared" si="821"/>
        <v>3057</v>
      </c>
      <c r="CB40" s="9">
        <f t="shared" si="821"/>
        <v>3057</v>
      </c>
      <c r="CC40" s="9">
        <f t="shared" si="821"/>
        <v>3057</v>
      </c>
      <c r="CD40" s="25">
        <f t="shared" si="725"/>
        <v>36678</v>
      </c>
      <c r="CE40" s="25">
        <f t="shared" si="726"/>
        <v>1605198</v>
      </c>
      <c r="CF40" s="9">
        <f>SUM(CF6:CF39)</f>
        <v>113440</v>
      </c>
      <c r="CG40" s="9">
        <f t="shared" ref="CG40:CQ40" si="822">SUM(CG6:CG39)</f>
        <v>113440</v>
      </c>
      <c r="CH40" s="9">
        <f t="shared" si="822"/>
        <v>113440</v>
      </c>
      <c r="CI40" s="9">
        <f t="shared" si="822"/>
        <v>113440</v>
      </c>
      <c r="CJ40" s="9">
        <f t="shared" si="822"/>
        <v>113440</v>
      </c>
      <c r="CK40" s="9">
        <f t="shared" si="822"/>
        <v>113440</v>
      </c>
      <c r="CL40" s="9">
        <f t="shared" si="822"/>
        <v>151170</v>
      </c>
      <c r="CM40" s="9">
        <f t="shared" si="822"/>
        <v>118830</v>
      </c>
      <c r="CN40" s="9">
        <f t="shared" si="822"/>
        <v>118830</v>
      </c>
      <c r="CO40" s="9">
        <f t="shared" si="822"/>
        <v>118830</v>
      </c>
      <c r="CP40" s="9">
        <f t="shared" si="822"/>
        <v>118830</v>
      </c>
      <c r="CQ40" s="9">
        <f t="shared" si="822"/>
        <v>118830</v>
      </c>
      <c r="CR40" s="25">
        <f t="shared" si="727"/>
        <v>1425960</v>
      </c>
      <c r="CS40" s="9">
        <f>SUM(CS6:CS39)</f>
        <v>3750</v>
      </c>
      <c r="CT40" s="9">
        <f t="shared" ref="CT40:DD40" si="823">SUM(CT6:CT39)</f>
        <v>3750</v>
      </c>
      <c r="CU40" s="9">
        <f t="shared" si="823"/>
        <v>3750</v>
      </c>
      <c r="CV40" s="9">
        <f t="shared" si="823"/>
        <v>3750</v>
      </c>
      <c r="CW40" s="9">
        <f t="shared" si="823"/>
        <v>3750</v>
      </c>
      <c r="CX40" s="9">
        <f t="shared" si="823"/>
        <v>3750</v>
      </c>
      <c r="CY40" s="9">
        <f t="shared" si="823"/>
        <v>3750</v>
      </c>
      <c r="CZ40" s="9">
        <f t="shared" si="823"/>
        <v>3750</v>
      </c>
      <c r="DA40" s="9">
        <f t="shared" si="823"/>
        <v>3750</v>
      </c>
      <c r="DB40" s="9">
        <f t="shared" si="823"/>
        <v>3750</v>
      </c>
      <c r="DC40" s="9">
        <f t="shared" si="823"/>
        <v>3750</v>
      </c>
      <c r="DD40" s="9">
        <f t="shared" si="823"/>
        <v>3750</v>
      </c>
      <c r="DE40" s="25">
        <f t="shared" si="728"/>
        <v>45000</v>
      </c>
      <c r="DF40" s="9">
        <f>SUM(DF6:DF39)</f>
        <v>2144</v>
      </c>
      <c r="DG40" s="9">
        <f t="shared" ref="DG40:DQ40" si="824">SUM(DG6:DG39)</f>
        <v>2144</v>
      </c>
      <c r="DH40" s="9">
        <f t="shared" si="824"/>
        <v>2144</v>
      </c>
      <c r="DI40" s="9">
        <f t="shared" si="824"/>
        <v>2144</v>
      </c>
      <c r="DJ40" s="9">
        <f t="shared" si="824"/>
        <v>2144</v>
      </c>
      <c r="DK40" s="9">
        <f t="shared" si="824"/>
        <v>2144</v>
      </c>
      <c r="DL40" s="9">
        <f t="shared" si="824"/>
        <v>2837</v>
      </c>
      <c r="DM40" s="9">
        <f t="shared" si="824"/>
        <v>2243</v>
      </c>
      <c r="DN40" s="9">
        <f t="shared" si="824"/>
        <v>2243</v>
      </c>
      <c r="DO40" s="9">
        <f t="shared" si="824"/>
        <v>2243</v>
      </c>
      <c r="DP40" s="9">
        <f t="shared" si="824"/>
        <v>3565</v>
      </c>
      <c r="DQ40" s="9">
        <f t="shared" si="824"/>
        <v>3565</v>
      </c>
      <c r="DR40" s="25">
        <f t="shared" si="729"/>
        <v>29560</v>
      </c>
      <c r="DS40" s="25">
        <f t="shared" si="730"/>
        <v>1500520</v>
      </c>
      <c r="DT40" s="9">
        <f>SUM(DT6:DT39)</f>
        <v>91190</v>
      </c>
      <c r="DU40" s="9">
        <f t="shared" ref="DU40:EE40" si="825">SUM(DU6:DU39)</f>
        <v>91190</v>
      </c>
      <c r="DV40" s="9">
        <f t="shared" si="825"/>
        <v>91190</v>
      </c>
      <c r="DW40" s="9">
        <f t="shared" si="825"/>
        <v>91190</v>
      </c>
      <c r="DX40" s="9">
        <f t="shared" si="825"/>
        <v>91190</v>
      </c>
      <c r="DY40" s="9">
        <f t="shared" si="825"/>
        <v>91190</v>
      </c>
      <c r="DZ40" s="9">
        <f t="shared" si="825"/>
        <v>115200</v>
      </c>
      <c r="EA40" s="9">
        <f t="shared" si="825"/>
        <v>94620</v>
      </c>
      <c r="EB40" s="9">
        <f t="shared" si="825"/>
        <v>71870</v>
      </c>
      <c r="EC40" s="9">
        <f t="shared" si="825"/>
        <v>71870</v>
      </c>
      <c r="ED40" s="9">
        <f t="shared" si="825"/>
        <v>71870</v>
      </c>
      <c r="EE40" s="9">
        <f t="shared" si="825"/>
        <v>71870</v>
      </c>
      <c r="EF40" s="25">
        <f t="shared" si="731"/>
        <v>1044440</v>
      </c>
      <c r="EG40" s="9">
        <f>SUM(EG6:EG39)</f>
        <v>3000</v>
      </c>
      <c r="EH40" s="9">
        <f t="shared" ref="EH40:ER40" si="826">SUM(EH6:EH39)</f>
        <v>3000</v>
      </c>
      <c r="EI40" s="9">
        <f t="shared" si="826"/>
        <v>3000</v>
      </c>
      <c r="EJ40" s="9">
        <f t="shared" si="826"/>
        <v>3000</v>
      </c>
      <c r="EK40" s="9">
        <f t="shared" si="826"/>
        <v>3000</v>
      </c>
      <c r="EL40" s="9">
        <f t="shared" si="826"/>
        <v>3000</v>
      </c>
      <c r="EM40" s="9">
        <f t="shared" si="826"/>
        <v>3000</v>
      </c>
      <c r="EN40" s="9">
        <f t="shared" si="826"/>
        <v>3000</v>
      </c>
      <c r="EO40" s="9">
        <f t="shared" si="826"/>
        <v>2250</v>
      </c>
      <c r="EP40" s="9">
        <f t="shared" si="826"/>
        <v>2250</v>
      </c>
      <c r="EQ40" s="9">
        <f t="shared" si="826"/>
        <v>2250</v>
      </c>
      <c r="ER40" s="9">
        <f t="shared" si="826"/>
        <v>2250</v>
      </c>
      <c r="ES40" s="25">
        <f t="shared" si="732"/>
        <v>33000</v>
      </c>
      <c r="ET40" s="9">
        <f>SUM(ET6:ET39)</f>
        <v>2735</v>
      </c>
      <c r="EU40" s="9">
        <f t="shared" ref="EU40:FE40" si="827">SUM(EU6:EU39)</f>
        <v>2735</v>
      </c>
      <c r="EV40" s="9">
        <f t="shared" si="827"/>
        <v>2735</v>
      </c>
      <c r="EW40" s="9">
        <f t="shared" si="827"/>
        <v>2735</v>
      </c>
      <c r="EX40" s="9">
        <f t="shared" si="827"/>
        <v>2735</v>
      </c>
      <c r="EY40" s="9">
        <f t="shared" si="827"/>
        <v>2735</v>
      </c>
      <c r="EZ40" s="9">
        <f t="shared" si="827"/>
        <v>3456</v>
      </c>
      <c r="FA40" s="9">
        <f t="shared" si="827"/>
        <v>2838</v>
      </c>
      <c r="FB40" s="9">
        <f t="shared" si="827"/>
        <v>1400</v>
      </c>
      <c r="FC40" s="9">
        <f t="shared" si="827"/>
        <v>1400</v>
      </c>
      <c r="FD40" s="9">
        <f t="shared" si="827"/>
        <v>1400</v>
      </c>
      <c r="FE40" s="9">
        <f t="shared" si="827"/>
        <v>1400</v>
      </c>
      <c r="FF40" s="25">
        <f t="shared" si="733"/>
        <v>28304</v>
      </c>
      <c r="FG40" s="25">
        <f t="shared" si="734"/>
        <v>1105744</v>
      </c>
      <c r="FH40" s="9">
        <f>SUM(FH6:FH39)</f>
        <v>461870</v>
      </c>
      <c r="FI40" s="9">
        <f t="shared" ref="FI40:FS40" si="828">SUM(FI6:FI39)</f>
        <v>441680</v>
      </c>
      <c r="FJ40" s="9">
        <f t="shared" si="828"/>
        <v>473530</v>
      </c>
      <c r="FK40" s="9">
        <f t="shared" si="828"/>
        <v>464430</v>
      </c>
      <c r="FL40" s="9">
        <f t="shared" si="828"/>
        <v>464430</v>
      </c>
      <c r="FM40" s="9">
        <f t="shared" si="828"/>
        <v>464430</v>
      </c>
      <c r="FN40" s="9">
        <f t="shared" si="828"/>
        <v>620000</v>
      </c>
      <c r="FO40" s="9">
        <f t="shared" si="828"/>
        <v>515110</v>
      </c>
      <c r="FP40" s="9">
        <f t="shared" si="828"/>
        <v>506010</v>
      </c>
      <c r="FQ40" s="9">
        <f t="shared" si="828"/>
        <v>506010</v>
      </c>
      <c r="FR40" s="9">
        <f t="shared" si="828"/>
        <v>506010</v>
      </c>
      <c r="FS40" s="9">
        <f t="shared" si="828"/>
        <v>506010</v>
      </c>
      <c r="FT40" s="25">
        <f t="shared" si="735"/>
        <v>5929520</v>
      </c>
      <c r="FU40" s="9">
        <f>SUM(FU6:FU39)</f>
        <v>15000</v>
      </c>
      <c r="FV40" s="9">
        <f t="shared" ref="FV40:GF40" si="829">SUM(FV6:FV39)</f>
        <v>14250</v>
      </c>
      <c r="FW40" s="9">
        <f t="shared" si="829"/>
        <v>15455</v>
      </c>
      <c r="FX40" s="9">
        <f t="shared" si="829"/>
        <v>15000</v>
      </c>
      <c r="FY40" s="9">
        <f t="shared" si="829"/>
        <v>15000</v>
      </c>
      <c r="FZ40" s="9">
        <f t="shared" si="829"/>
        <v>15000</v>
      </c>
      <c r="GA40" s="9">
        <f t="shared" si="829"/>
        <v>15000</v>
      </c>
      <c r="GB40" s="9">
        <f t="shared" si="829"/>
        <v>16100</v>
      </c>
      <c r="GC40" s="9">
        <f t="shared" si="829"/>
        <v>15750</v>
      </c>
      <c r="GD40" s="9">
        <f t="shared" si="829"/>
        <v>15750</v>
      </c>
      <c r="GE40" s="9">
        <f t="shared" si="829"/>
        <v>15750</v>
      </c>
      <c r="GF40" s="9">
        <f t="shared" si="829"/>
        <v>15750</v>
      </c>
      <c r="GG40" s="25">
        <f t="shared" si="736"/>
        <v>183805</v>
      </c>
      <c r="GH40" s="9">
        <f>SUM(GH6:GH39)</f>
        <v>10504</v>
      </c>
      <c r="GI40" s="9">
        <f t="shared" ref="GI40:GS40" si="830">SUM(GI6:GI39)</f>
        <v>9898</v>
      </c>
      <c r="GJ40" s="9">
        <f t="shared" si="830"/>
        <v>9898</v>
      </c>
      <c r="GK40" s="9">
        <f t="shared" si="830"/>
        <v>9898</v>
      </c>
      <c r="GL40" s="9">
        <f t="shared" si="830"/>
        <v>9898</v>
      </c>
      <c r="GM40" s="9">
        <f t="shared" si="830"/>
        <v>9898</v>
      </c>
      <c r="GN40" s="9">
        <f t="shared" si="830"/>
        <v>13368</v>
      </c>
      <c r="GO40" s="9">
        <f t="shared" si="830"/>
        <v>10392</v>
      </c>
      <c r="GP40" s="9">
        <f t="shared" si="830"/>
        <v>10392</v>
      </c>
      <c r="GQ40" s="9">
        <f t="shared" si="830"/>
        <v>10392</v>
      </c>
      <c r="GR40" s="9">
        <f t="shared" si="830"/>
        <v>12379</v>
      </c>
      <c r="GS40" s="9">
        <f t="shared" si="830"/>
        <v>12379</v>
      </c>
      <c r="GT40" s="25">
        <f t="shared" si="737"/>
        <v>129296</v>
      </c>
      <c r="GU40" s="25">
        <f t="shared" si="738"/>
        <v>6242621</v>
      </c>
      <c r="GV40" s="9">
        <f>SUM(GV6:GV39)</f>
        <v>330010</v>
      </c>
      <c r="GW40" s="9">
        <f t="shared" ref="GW40:HG40" si="831">SUM(GW6:GW39)</f>
        <v>330010</v>
      </c>
      <c r="GX40" s="9">
        <f t="shared" si="831"/>
        <v>330010</v>
      </c>
      <c r="GY40" s="9">
        <f t="shared" si="831"/>
        <v>330010</v>
      </c>
      <c r="GZ40" s="9">
        <f t="shared" si="831"/>
        <v>330010</v>
      </c>
      <c r="HA40" s="9">
        <f t="shared" si="831"/>
        <v>330010</v>
      </c>
      <c r="HB40" s="9">
        <f t="shared" si="831"/>
        <v>439070</v>
      </c>
      <c r="HC40" s="9">
        <f t="shared" si="831"/>
        <v>345590</v>
      </c>
      <c r="HD40" s="9">
        <f t="shared" si="831"/>
        <v>345590</v>
      </c>
      <c r="HE40" s="9">
        <f t="shared" si="831"/>
        <v>345590</v>
      </c>
      <c r="HF40" s="9">
        <f t="shared" si="831"/>
        <v>332609.34999999998</v>
      </c>
      <c r="HG40" s="9">
        <f t="shared" si="831"/>
        <v>320440</v>
      </c>
      <c r="HH40" s="25">
        <f t="shared" si="739"/>
        <v>4108949.35</v>
      </c>
      <c r="HI40" s="9">
        <f>SUM(HI6:HI39)</f>
        <v>10500</v>
      </c>
      <c r="HJ40" s="9">
        <f t="shared" ref="HJ40:HT40" si="832">SUM(HJ6:HJ39)</f>
        <v>10500</v>
      </c>
      <c r="HK40" s="9">
        <f t="shared" si="832"/>
        <v>10500</v>
      </c>
      <c r="HL40" s="9">
        <f t="shared" si="832"/>
        <v>10500</v>
      </c>
      <c r="HM40" s="9">
        <f t="shared" si="832"/>
        <v>10500</v>
      </c>
      <c r="HN40" s="9">
        <f t="shared" si="832"/>
        <v>10500</v>
      </c>
      <c r="HO40" s="9">
        <f t="shared" si="832"/>
        <v>10500</v>
      </c>
      <c r="HP40" s="9">
        <f t="shared" si="832"/>
        <v>10500</v>
      </c>
      <c r="HQ40" s="9">
        <f t="shared" si="832"/>
        <v>10500</v>
      </c>
      <c r="HR40" s="9">
        <f t="shared" si="832"/>
        <v>10500</v>
      </c>
      <c r="HS40" s="9">
        <f t="shared" si="832"/>
        <v>10350</v>
      </c>
      <c r="HT40" s="9">
        <f t="shared" si="832"/>
        <v>9750</v>
      </c>
      <c r="HU40" s="25">
        <f t="shared" si="740"/>
        <v>125100</v>
      </c>
      <c r="HV40" s="9">
        <f>SUM(HV6:HV39)</f>
        <v>8591</v>
      </c>
      <c r="HW40" s="9">
        <f t="shared" ref="HW40:IG40" si="833">SUM(HW6:HW39)</f>
        <v>8591</v>
      </c>
      <c r="HX40" s="9">
        <f t="shared" si="833"/>
        <v>8591</v>
      </c>
      <c r="HY40" s="9">
        <f t="shared" si="833"/>
        <v>8591</v>
      </c>
      <c r="HZ40" s="9">
        <f t="shared" si="833"/>
        <v>8591</v>
      </c>
      <c r="IA40" s="9">
        <f t="shared" si="833"/>
        <v>8591</v>
      </c>
      <c r="IB40" s="9">
        <f t="shared" si="833"/>
        <v>11614</v>
      </c>
      <c r="IC40" s="9">
        <f t="shared" si="833"/>
        <v>9607</v>
      </c>
      <c r="ID40" s="9">
        <f t="shared" si="833"/>
        <v>9607</v>
      </c>
      <c r="IE40" s="9">
        <f t="shared" si="833"/>
        <v>8852</v>
      </c>
      <c r="IF40" s="9">
        <f t="shared" si="833"/>
        <v>8852</v>
      </c>
      <c r="IG40" s="9">
        <f t="shared" si="833"/>
        <v>8852</v>
      </c>
      <c r="IH40" s="25">
        <f t="shared" si="741"/>
        <v>108930</v>
      </c>
      <c r="II40" s="25">
        <f t="shared" si="742"/>
        <v>4342979.3499999996</v>
      </c>
      <c r="IJ40" s="9">
        <f>SUM(IJ6:IJ39)</f>
        <v>269360</v>
      </c>
      <c r="IK40" s="9">
        <f t="shared" ref="IK40:IU40" si="834">SUM(IK6:IK39)</f>
        <v>269360</v>
      </c>
      <c r="IL40" s="9">
        <f t="shared" si="834"/>
        <v>269360</v>
      </c>
      <c r="IM40" s="9">
        <f t="shared" si="834"/>
        <v>269360</v>
      </c>
      <c r="IN40" s="9">
        <f t="shared" si="834"/>
        <v>269360</v>
      </c>
      <c r="IO40" s="9">
        <f t="shared" si="834"/>
        <v>269360</v>
      </c>
      <c r="IP40" s="9">
        <f t="shared" si="834"/>
        <v>355670</v>
      </c>
      <c r="IQ40" s="9">
        <f t="shared" si="834"/>
        <v>281690</v>
      </c>
      <c r="IR40" s="9">
        <f t="shared" si="834"/>
        <v>260372.67</v>
      </c>
      <c r="IS40" s="9">
        <f t="shared" si="834"/>
        <v>302075</v>
      </c>
      <c r="IT40" s="9">
        <f t="shared" si="834"/>
        <v>281600</v>
      </c>
      <c r="IU40" s="9">
        <f t="shared" si="834"/>
        <v>281600</v>
      </c>
      <c r="IV40" s="25">
        <f t="shared" si="743"/>
        <v>3379167.67</v>
      </c>
      <c r="IW40" s="9">
        <f>SUM(IW6:IW39)</f>
        <v>9000</v>
      </c>
      <c r="IX40" s="9">
        <f t="shared" ref="IX40:JH40" si="835">SUM(IX6:IX39)</f>
        <v>9000</v>
      </c>
      <c r="IY40" s="9">
        <f t="shared" si="835"/>
        <v>9000</v>
      </c>
      <c r="IZ40" s="9">
        <f t="shared" si="835"/>
        <v>9000</v>
      </c>
      <c r="JA40" s="9">
        <f t="shared" si="835"/>
        <v>9000</v>
      </c>
      <c r="JB40" s="9">
        <f t="shared" si="835"/>
        <v>9000</v>
      </c>
      <c r="JC40" s="9">
        <f t="shared" si="835"/>
        <v>9000</v>
      </c>
      <c r="JD40" s="9">
        <f t="shared" si="835"/>
        <v>9000</v>
      </c>
      <c r="JE40" s="9">
        <f t="shared" si="835"/>
        <v>8333</v>
      </c>
      <c r="JF40" s="9">
        <f t="shared" si="835"/>
        <v>9667</v>
      </c>
      <c r="JG40" s="9">
        <f t="shared" si="835"/>
        <v>9000</v>
      </c>
      <c r="JH40" s="9">
        <f t="shared" si="835"/>
        <v>9000</v>
      </c>
      <c r="JI40" s="25">
        <f t="shared" si="744"/>
        <v>108000</v>
      </c>
      <c r="JJ40" s="9">
        <f>SUM(JJ6:JJ39)</f>
        <v>5043</v>
      </c>
      <c r="JK40" s="9">
        <f t="shared" ref="JK40:JU40" si="836">SUM(JK6:JK39)</f>
        <v>5043</v>
      </c>
      <c r="JL40" s="9">
        <f t="shared" si="836"/>
        <v>5043</v>
      </c>
      <c r="JM40" s="9">
        <f t="shared" si="836"/>
        <v>5043</v>
      </c>
      <c r="JN40" s="9">
        <f t="shared" si="836"/>
        <v>5043</v>
      </c>
      <c r="JO40" s="9">
        <f t="shared" si="836"/>
        <v>5043</v>
      </c>
      <c r="JP40" s="9">
        <f t="shared" si="836"/>
        <v>6812</v>
      </c>
      <c r="JQ40" s="9">
        <f t="shared" si="836"/>
        <v>5294</v>
      </c>
      <c r="JR40" s="9">
        <f t="shared" si="836"/>
        <v>5294</v>
      </c>
      <c r="JS40" s="9">
        <f t="shared" si="836"/>
        <v>5294</v>
      </c>
      <c r="JT40" s="9">
        <f t="shared" si="836"/>
        <v>5294</v>
      </c>
      <c r="JU40" s="9">
        <f t="shared" si="836"/>
        <v>5294</v>
      </c>
      <c r="JV40" s="25">
        <f t="shared" si="745"/>
        <v>63540</v>
      </c>
      <c r="JW40" s="25">
        <f t="shared" si="746"/>
        <v>3550707.67</v>
      </c>
      <c r="JX40" s="9">
        <f>SUM(JX6:JX39)</f>
        <v>43980</v>
      </c>
      <c r="JY40" s="9">
        <f t="shared" ref="JY40:KI40" si="837">SUM(JY6:JY39)</f>
        <v>43980</v>
      </c>
      <c r="JZ40" s="9">
        <f t="shared" si="837"/>
        <v>43980</v>
      </c>
      <c r="KA40" s="9">
        <f t="shared" si="837"/>
        <v>43980</v>
      </c>
      <c r="KB40" s="9">
        <f t="shared" si="837"/>
        <v>43980</v>
      </c>
      <c r="KC40" s="9">
        <f t="shared" si="837"/>
        <v>43980</v>
      </c>
      <c r="KD40" s="9">
        <f t="shared" si="837"/>
        <v>59310</v>
      </c>
      <c r="KE40" s="9">
        <f t="shared" si="837"/>
        <v>46170</v>
      </c>
      <c r="KF40" s="9">
        <f t="shared" si="837"/>
        <v>46170</v>
      </c>
      <c r="KG40" s="9">
        <f t="shared" si="837"/>
        <v>46170</v>
      </c>
      <c r="KH40" s="9">
        <f t="shared" si="837"/>
        <v>46170</v>
      </c>
      <c r="KI40" s="9">
        <f t="shared" si="837"/>
        <v>46170</v>
      </c>
      <c r="KJ40" s="25">
        <f t="shared" si="747"/>
        <v>554040</v>
      </c>
      <c r="KK40" s="9">
        <f>SUM(KK6:KK39)</f>
        <v>1500</v>
      </c>
      <c r="KL40" s="9">
        <f t="shared" ref="KL40:KV40" si="838">SUM(KL6:KL39)</f>
        <v>1500</v>
      </c>
      <c r="KM40" s="9">
        <f t="shared" si="838"/>
        <v>1500</v>
      </c>
      <c r="KN40" s="9">
        <f t="shared" si="838"/>
        <v>1500</v>
      </c>
      <c r="KO40" s="9">
        <f t="shared" si="838"/>
        <v>1500</v>
      </c>
      <c r="KP40" s="9">
        <f t="shared" si="838"/>
        <v>1500</v>
      </c>
      <c r="KQ40" s="9">
        <f t="shared" si="838"/>
        <v>1500</v>
      </c>
      <c r="KR40" s="9">
        <f t="shared" si="838"/>
        <v>1500</v>
      </c>
      <c r="KS40" s="9">
        <f t="shared" si="838"/>
        <v>1500</v>
      </c>
      <c r="KT40" s="9">
        <f t="shared" si="838"/>
        <v>1500</v>
      </c>
      <c r="KU40" s="9">
        <f t="shared" si="838"/>
        <v>1500</v>
      </c>
      <c r="KV40" s="9">
        <f t="shared" si="838"/>
        <v>1500</v>
      </c>
      <c r="KW40" s="25">
        <f t="shared" si="748"/>
        <v>18000</v>
      </c>
      <c r="KX40" s="9">
        <f>SUM(KX6:KX39)</f>
        <v>734</v>
      </c>
      <c r="KY40" s="9">
        <f t="shared" ref="KY40:LI40" si="839">SUM(KY6:KY39)</f>
        <v>734</v>
      </c>
      <c r="KZ40" s="9">
        <f t="shared" si="839"/>
        <v>734</v>
      </c>
      <c r="LA40" s="9">
        <f t="shared" si="839"/>
        <v>734</v>
      </c>
      <c r="LB40" s="9">
        <f t="shared" si="839"/>
        <v>734</v>
      </c>
      <c r="LC40" s="9">
        <f t="shared" si="839"/>
        <v>734</v>
      </c>
      <c r="LD40" s="9">
        <f t="shared" si="839"/>
        <v>993</v>
      </c>
      <c r="LE40" s="9">
        <f t="shared" si="839"/>
        <v>771</v>
      </c>
      <c r="LF40" s="9">
        <f t="shared" si="839"/>
        <v>771</v>
      </c>
      <c r="LG40" s="9">
        <f t="shared" si="839"/>
        <v>771</v>
      </c>
      <c r="LH40" s="9">
        <f t="shared" si="839"/>
        <v>771</v>
      </c>
      <c r="LI40" s="9">
        <f t="shared" si="839"/>
        <v>771</v>
      </c>
      <c r="LJ40" s="25">
        <f t="shared" si="749"/>
        <v>9252</v>
      </c>
      <c r="LK40" s="25">
        <f t="shared" si="750"/>
        <v>581292</v>
      </c>
      <c r="LL40" s="9">
        <f>SUM(LL6:LL39)</f>
        <v>117840</v>
      </c>
      <c r="LM40" s="9">
        <f t="shared" ref="LM40:LW40" si="840">SUM(LM6:LM39)</f>
        <v>117840</v>
      </c>
      <c r="LN40" s="9">
        <f t="shared" si="840"/>
        <v>117840</v>
      </c>
      <c r="LO40" s="9">
        <f t="shared" si="840"/>
        <v>107538.71</v>
      </c>
      <c r="LP40" s="9">
        <f t="shared" si="840"/>
        <v>117840</v>
      </c>
      <c r="LQ40" s="9">
        <f t="shared" si="840"/>
        <v>117840</v>
      </c>
      <c r="LR40" s="9">
        <f t="shared" si="840"/>
        <v>157610.64000000001</v>
      </c>
      <c r="LS40" s="9">
        <f t="shared" si="840"/>
        <v>123760</v>
      </c>
      <c r="LT40" s="9">
        <f t="shared" si="840"/>
        <v>123760</v>
      </c>
      <c r="LU40" s="9">
        <f t="shared" si="840"/>
        <v>123760</v>
      </c>
      <c r="LV40" s="9">
        <f t="shared" si="840"/>
        <v>123760</v>
      </c>
      <c r="LW40" s="9">
        <f t="shared" si="840"/>
        <v>123760</v>
      </c>
      <c r="LX40" s="25">
        <f t="shared" si="751"/>
        <v>1473149.35</v>
      </c>
      <c r="LY40" s="9">
        <f>SUM(LY6:LY39)</f>
        <v>3750</v>
      </c>
      <c r="LZ40" s="9">
        <f t="shared" ref="LZ40:MJ40" si="841">SUM(LZ6:LZ39)</f>
        <v>3750</v>
      </c>
      <c r="MA40" s="9">
        <f t="shared" si="841"/>
        <v>3750</v>
      </c>
      <c r="MB40" s="9">
        <f t="shared" si="841"/>
        <v>3625</v>
      </c>
      <c r="MC40" s="9">
        <f t="shared" si="841"/>
        <v>3750</v>
      </c>
      <c r="MD40" s="9">
        <f t="shared" si="841"/>
        <v>3750</v>
      </c>
      <c r="ME40" s="9">
        <f t="shared" si="841"/>
        <v>3782</v>
      </c>
      <c r="MF40" s="9">
        <f t="shared" si="841"/>
        <v>3750</v>
      </c>
      <c r="MG40" s="9">
        <f t="shared" si="841"/>
        <v>3750</v>
      </c>
      <c r="MH40" s="9">
        <f t="shared" si="841"/>
        <v>3750</v>
      </c>
      <c r="MI40" s="9">
        <f t="shared" si="841"/>
        <v>3750</v>
      </c>
      <c r="MJ40" s="9">
        <f t="shared" si="841"/>
        <v>3750</v>
      </c>
      <c r="MK40" s="25">
        <f t="shared" si="752"/>
        <v>44907</v>
      </c>
      <c r="ML40" s="9">
        <f>SUM(ML6:ML39)</f>
        <v>3534</v>
      </c>
      <c r="MM40" s="9">
        <f t="shared" ref="MM40:MW40" si="842">SUM(MM6:MM39)</f>
        <v>3534</v>
      </c>
      <c r="MN40" s="9">
        <f t="shared" si="842"/>
        <v>3534</v>
      </c>
      <c r="MO40" s="9">
        <f t="shared" si="842"/>
        <v>3225</v>
      </c>
      <c r="MP40" s="9">
        <f t="shared" si="842"/>
        <v>3534</v>
      </c>
      <c r="MQ40" s="9">
        <f t="shared" si="842"/>
        <v>3534</v>
      </c>
      <c r="MR40" s="9">
        <f t="shared" si="842"/>
        <v>4729</v>
      </c>
      <c r="MS40" s="9">
        <f t="shared" si="842"/>
        <v>3712</v>
      </c>
      <c r="MT40" s="9">
        <f t="shared" si="842"/>
        <v>3712</v>
      </c>
      <c r="MU40" s="9">
        <f t="shared" si="842"/>
        <v>3712</v>
      </c>
      <c r="MV40" s="9">
        <f t="shared" si="842"/>
        <v>3712</v>
      </c>
      <c r="MW40" s="9">
        <f t="shared" si="842"/>
        <v>3712</v>
      </c>
      <c r="MX40" s="25">
        <f t="shared" si="753"/>
        <v>44184</v>
      </c>
      <c r="MY40" s="25">
        <f t="shared" si="754"/>
        <v>1562240.35</v>
      </c>
      <c r="MZ40" s="9">
        <f>SUM(MZ6:MZ39)</f>
        <v>261490</v>
      </c>
      <c r="NA40" s="9">
        <f t="shared" ref="NA40:NK40" si="843">SUM(NA6:NA39)</f>
        <v>261490</v>
      </c>
      <c r="NB40" s="9">
        <f t="shared" si="843"/>
        <v>300490</v>
      </c>
      <c r="NC40" s="9">
        <f t="shared" si="843"/>
        <v>280990</v>
      </c>
      <c r="ND40" s="9">
        <f t="shared" si="843"/>
        <v>280990</v>
      </c>
      <c r="NE40" s="9">
        <f t="shared" si="843"/>
        <v>280990</v>
      </c>
      <c r="NF40" s="9">
        <f t="shared" si="843"/>
        <v>369750</v>
      </c>
      <c r="NG40" s="9">
        <f t="shared" si="843"/>
        <v>293670</v>
      </c>
      <c r="NH40" s="9">
        <f t="shared" si="843"/>
        <v>293670</v>
      </c>
      <c r="NI40" s="9">
        <f t="shared" si="843"/>
        <v>293670</v>
      </c>
      <c r="NJ40" s="9">
        <f t="shared" si="843"/>
        <v>293670</v>
      </c>
      <c r="NK40" s="9">
        <f t="shared" si="843"/>
        <v>293670</v>
      </c>
      <c r="NL40" s="25">
        <f t="shared" si="755"/>
        <v>3504540</v>
      </c>
      <c r="NM40" s="9">
        <f>SUM(NM6:NM39)</f>
        <v>8250</v>
      </c>
      <c r="NN40" s="9">
        <f t="shared" ref="NN40:NX40" si="844">SUM(NN6:NN39)</f>
        <v>8250</v>
      </c>
      <c r="NO40" s="9">
        <f t="shared" si="844"/>
        <v>9750</v>
      </c>
      <c r="NP40" s="9">
        <f t="shared" si="844"/>
        <v>9000</v>
      </c>
      <c r="NQ40" s="9">
        <f t="shared" si="844"/>
        <v>9000</v>
      </c>
      <c r="NR40" s="9">
        <f t="shared" si="844"/>
        <v>9000</v>
      </c>
      <c r="NS40" s="9">
        <f t="shared" si="844"/>
        <v>9000</v>
      </c>
      <c r="NT40" s="9">
        <f t="shared" si="844"/>
        <v>9000</v>
      </c>
      <c r="NU40" s="9">
        <f t="shared" si="844"/>
        <v>9000</v>
      </c>
      <c r="NV40" s="9">
        <f t="shared" si="844"/>
        <v>9000</v>
      </c>
      <c r="NW40" s="9">
        <f t="shared" si="844"/>
        <v>9000</v>
      </c>
      <c r="NX40" s="9">
        <f t="shared" si="844"/>
        <v>9000</v>
      </c>
      <c r="NY40" s="25">
        <f t="shared" si="756"/>
        <v>107250</v>
      </c>
      <c r="NZ40" s="9">
        <f>SUM(NZ6:NZ39)</f>
        <v>2910</v>
      </c>
      <c r="OA40" s="9">
        <f t="shared" ref="OA40:OK40" si="845">SUM(OA6:OA39)</f>
        <v>2910</v>
      </c>
      <c r="OB40" s="9">
        <f t="shared" si="845"/>
        <v>2910</v>
      </c>
      <c r="OC40" s="9">
        <f t="shared" si="845"/>
        <v>2910</v>
      </c>
      <c r="OD40" s="9">
        <f t="shared" si="845"/>
        <v>2910</v>
      </c>
      <c r="OE40" s="9">
        <f t="shared" si="845"/>
        <v>2910</v>
      </c>
      <c r="OF40" s="9">
        <f t="shared" si="845"/>
        <v>3883</v>
      </c>
      <c r="OG40" s="9">
        <f t="shared" si="845"/>
        <v>3049</v>
      </c>
      <c r="OH40" s="9">
        <f t="shared" si="845"/>
        <v>3049</v>
      </c>
      <c r="OI40" s="9">
        <f t="shared" si="845"/>
        <v>3049</v>
      </c>
      <c r="OJ40" s="9">
        <f t="shared" si="845"/>
        <v>3049</v>
      </c>
      <c r="OK40" s="9">
        <f t="shared" si="845"/>
        <v>3049</v>
      </c>
      <c r="OL40" s="25">
        <f t="shared" si="757"/>
        <v>36588</v>
      </c>
      <c r="OM40" s="25">
        <f t="shared" si="758"/>
        <v>3648378</v>
      </c>
      <c r="ON40" s="9">
        <f>SUM(ON6:ON39)</f>
        <v>142740</v>
      </c>
      <c r="OO40" s="9">
        <f t="shared" ref="OO40" si="846">SUM(OO6:OO39)</f>
        <v>142740</v>
      </c>
      <c r="OP40" s="9">
        <f t="shared" ref="OP40" si="847">SUM(OP6:OP39)</f>
        <v>142740</v>
      </c>
      <c r="OQ40" s="9">
        <f t="shared" ref="OQ40" si="848">SUM(OQ6:OQ39)</f>
        <v>142740</v>
      </c>
      <c r="OR40" s="9">
        <f t="shared" ref="OR40" si="849">SUM(OR6:OR39)</f>
        <v>142740</v>
      </c>
      <c r="OS40" s="9">
        <f t="shared" ref="OS40" si="850">SUM(OS6:OS39)</f>
        <v>181740</v>
      </c>
      <c r="OT40" s="9">
        <f t="shared" ref="OT40" si="851">SUM(OT6:OT39)</f>
        <v>212430</v>
      </c>
      <c r="OU40" s="9">
        <f t="shared" ref="OU40" si="852">SUM(OU6:OU39)</f>
        <v>169410</v>
      </c>
      <c r="OV40" s="9">
        <f t="shared" ref="OV40" si="853">SUM(OV6:OV39)</f>
        <v>169410</v>
      </c>
      <c r="OW40" s="9">
        <f t="shared" ref="OW40" si="854">SUM(OW6:OW39)</f>
        <v>169410</v>
      </c>
      <c r="OX40" s="9">
        <f t="shared" ref="OX40" si="855">SUM(OX6:OX39)</f>
        <v>169410</v>
      </c>
      <c r="OY40" s="9">
        <f t="shared" ref="OY40" si="856">SUM(OY6:OY39)</f>
        <v>169410</v>
      </c>
      <c r="OZ40" s="25">
        <f t="shared" si="759"/>
        <v>1954920</v>
      </c>
      <c r="PA40" s="9">
        <f>SUM(PA6:PA39)</f>
        <v>4500</v>
      </c>
      <c r="PB40" s="9">
        <f t="shared" ref="PB40" si="857">SUM(PB6:PB39)</f>
        <v>4500</v>
      </c>
      <c r="PC40" s="9">
        <f t="shared" ref="PC40" si="858">SUM(PC6:PC39)</f>
        <v>4500</v>
      </c>
      <c r="PD40" s="9">
        <f t="shared" ref="PD40" si="859">SUM(PD6:PD39)</f>
        <v>4500</v>
      </c>
      <c r="PE40" s="9">
        <f t="shared" ref="PE40" si="860">SUM(PE6:PE39)</f>
        <v>4500</v>
      </c>
      <c r="PF40" s="9">
        <f t="shared" ref="PF40" si="861">SUM(PF6:PF39)</f>
        <v>6000</v>
      </c>
      <c r="PG40" s="9">
        <f t="shared" ref="PG40" si="862">SUM(PG6:PG39)</f>
        <v>5250</v>
      </c>
      <c r="PH40" s="9">
        <f t="shared" ref="PH40" si="863">SUM(PH6:PH39)</f>
        <v>5250</v>
      </c>
      <c r="PI40" s="9">
        <f t="shared" ref="PI40" si="864">SUM(PI6:PI39)</f>
        <v>5250</v>
      </c>
      <c r="PJ40" s="9">
        <f t="shared" ref="PJ40" si="865">SUM(PJ6:PJ39)</f>
        <v>5250</v>
      </c>
      <c r="PK40" s="9">
        <f t="shared" ref="PK40" si="866">SUM(PK6:PK39)</f>
        <v>5250</v>
      </c>
      <c r="PL40" s="9">
        <f t="shared" ref="PL40" si="867">SUM(PL6:PL39)</f>
        <v>5250</v>
      </c>
      <c r="PM40" s="25">
        <f t="shared" si="760"/>
        <v>60000</v>
      </c>
      <c r="PN40" s="9">
        <f>SUM(PN6:PN39)</f>
        <v>2843</v>
      </c>
      <c r="PO40" s="9">
        <f t="shared" ref="PO40" si="868">SUM(PO6:PO39)</f>
        <v>2843</v>
      </c>
      <c r="PP40" s="9">
        <f t="shared" ref="PP40" si="869">SUM(PP6:PP39)</f>
        <v>2843</v>
      </c>
      <c r="PQ40" s="9">
        <f t="shared" ref="PQ40" si="870">SUM(PQ6:PQ39)</f>
        <v>2843</v>
      </c>
      <c r="PR40" s="9">
        <f t="shared" ref="PR40" si="871">SUM(PR6:PR39)</f>
        <v>2843</v>
      </c>
      <c r="PS40" s="9">
        <f t="shared" ref="PS40" si="872">SUM(PS6:PS39)</f>
        <v>2843</v>
      </c>
      <c r="PT40" s="9">
        <f t="shared" ref="PT40" si="873">SUM(PT6:PT39)</f>
        <v>3843</v>
      </c>
      <c r="PU40" s="9">
        <f t="shared" ref="PU40" si="874">SUM(PU6:PU39)</f>
        <v>2985</v>
      </c>
      <c r="PV40" s="9">
        <f t="shared" ref="PV40" si="875">SUM(PV6:PV39)</f>
        <v>2985</v>
      </c>
      <c r="PW40" s="9">
        <f t="shared" ref="PW40" si="876">SUM(PW6:PW39)</f>
        <v>2985</v>
      </c>
      <c r="PX40" s="9">
        <f t="shared" ref="PX40" si="877">SUM(PX6:PX39)</f>
        <v>2985</v>
      </c>
      <c r="PY40" s="9">
        <f t="shared" ref="PY40" si="878">SUM(PY6:PY39)</f>
        <v>3570</v>
      </c>
      <c r="PZ40" s="25">
        <f t="shared" si="761"/>
        <v>36411</v>
      </c>
      <c r="QA40" s="25">
        <f t="shared" si="762"/>
        <v>2051331</v>
      </c>
      <c r="QB40" s="9">
        <f>SUM(QB6:QB39)</f>
        <v>355220</v>
      </c>
      <c r="QC40" s="9">
        <f t="shared" ref="QC40" si="879">SUM(QC6:QC39)</f>
        <v>355220</v>
      </c>
      <c r="QD40" s="9">
        <f t="shared" ref="QD40" si="880">SUM(QD6:QD39)</f>
        <v>355220</v>
      </c>
      <c r="QE40" s="9">
        <f t="shared" ref="QE40" si="881">SUM(QE6:QE39)</f>
        <v>355220</v>
      </c>
      <c r="QF40" s="9">
        <f t="shared" ref="QF40" si="882">SUM(QF6:QF39)</f>
        <v>355220</v>
      </c>
      <c r="QG40" s="9">
        <f t="shared" ref="QG40" si="883">SUM(QG6:QG39)</f>
        <v>355220</v>
      </c>
      <c r="QH40" s="9">
        <f t="shared" ref="QH40" si="884">SUM(QH6:QH39)</f>
        <v>471490</v>
      </c>
      <c r="QI40" s="9">
        <f t="shared" ref="QI40" si="885">SUM(QI6:QI39)</f>
        <v>371830</v>
      </c>
      <c r="QJ40" s="9">
        <f t="shared" ref="QJ40" si="886">SUM(QJ6:QJ39)</f>
        <v>371830</v>
      </c>
      <c r="QK40" s="9">
        <f t="shared" ref="QK40" si="887">SUM(QK6:QK39)</f>
        <v>371830</v>
      </c>
      <c r="QL40" s="9">
        <f t="shared" ref="QL40" si="888">SUM(QL6:QL39)</f>
        <v>371830</v>
      </c>
      <c r="QM40" s="9">
        <f t="shared" ref="QM40" si="889">SUM(QM6:QM39)</f>
        <v>347000</v>
      </c>
      <c r="QN40" s="25">
        <f t="shared" si="763"/>
        <v>4437130</v>
      </c>
      <c r="QO40" s="9">
        <f>SUM(QO6:QO39)</f>
        <v>11250</v>
      </c>
      <c r="QP40" s="9">
        <f t="shared" ref="QP40" si="890">SUM(QP6:QP39)</f>
        <v>11250</v>
      </c>
      <c r="QQ40" s="9">
        <f t="shared" ref="QQ40" si="891">SUM(QQ6:QQ39)</f>
        <v>11250</v>
      </c>
      <c r="QR40" s="9">
        <f t="shared" ref="QR40" si="892">SUM(QR6:QR39)</f>
        <v>11250</v>
      </c>
      <c r="QS40" s="9">
        <f t="shared" ref="QS40" si="893">SUM(QS6:QS39)</f>
        <v>11250</v>
      </c>
      <c r="QT40" s="9">
        <f t="shared" ref="QT40" si="894">SUM(QT6:QT39)</f>
        <v>11250</v>
      </c>
      <c r="QU40" s="9">
        <f t="shared" ref="QU40" si="895">SUM(QU6:QU39)</f>
        <v>11250</v>
      </c>
      <c r="QV40" s="9">
        <f t="shared" ref="QV40" si="896">SUM(QV6:QV39)</f>
        <v>11250</v>
      </c>
      <c r="QW40" s="9">
        <f t="shared" ref="QW40" si="897">SUM(QW6:QW39)</f>
        <v>11250</v>
      </c>
      <c r="QX40" s="9">
        <f t="shared" ref="QX40" si="898">SUM(QX6:QX39)</f>
        <v>11250</v>
      </c>
      <c r="QY40" s="9">
        <f t="shared" ref="QY40" si="899">SUM(QY6:QY39)</f>
        <v>11250</v>
      </c>
      <c r="QZ40" s="9">
        <f t="shared" ref="QZ40" si="900">SUM(QZ6:QZ39)</f>
        <v>10500</v>
      </c>
      <c r="RA40" s="25">
        <f t="shared" si="764"/>
        <v>134250</v>
      </c>
      <c r="RB40" s="9">
        <f>SUM(RB6:RB39)</f>
        <v>9262</v>
      </c>
      <c r="RC40" s="9">
        <f t="shared" ref="RC40" si="901">SUM(RC6:RC39)</f>
        <v>9262</v>
      </c>
      <c r="RD40" s="9">
        <f t="shared" ref="RD40" si="902">SUM(RD6:RD39)</f>
        <v>9262</v>
      </c>
      <c r="RE40" s="9">
        <f t="shared" ref="RE40" si="903">SUM(RE6:RE39)</f>
        <v>9262</v>
      </c>
      <c r="RF40" s="9">
        <f t="shared" ref="RF40" si="904">SUM(RF6:RF39)</f>
        <v>9262</v>
      </c>
      <c r="RG40" s="9">
        <f t="shared" ref="RG40" si="905">SUM(RG6:RG39)</f>
        <v>9262</v>
      </c>
      <c r="RH40" s="9">
        <f t="shared" ref="RH40" si="906">SUM(RH6:RH39)</f>
        <v>12320</v>
      </c>
      <c r="RI40" s="9">
        <f t="shared" ref="RI40" si="907">SUM(RI6:RI39)</f>
        <v>9698</v>
      </c>
      <c r="RJ40" s="9">
        <f t="shared" ref="RJ40" si="908">SUM(RJ6:RJ39)</f>
        <v>9698</v>
      </c>
      <c r="RK40" s="9">
        <f t="shared" ref="RK40" si="909">SUM(RK6:RK39)</f>
        <v>9698</v>
      </c>
      <c r="RL40" s="9">
        <f t="shared" ref="RL40" si="910">SUM(RL6:RL39)</f>
        <v>9698</v>
      </c>
      <c r="RM40" s="9">
        <f t="shared" ref="RM40" si="911">SUM(RM6:RM39)</f>
        <v>9698</v>
      </c>
      <c r="RN40" s="25">
        <f t="shared" si="765"/>
        <v>116382</v>
      </c>
      <c r="RO40" s="25">
        <f t="shared" si="766"/>
        <v>4687762</v>
      </c>
      <c r="RP40" s="9">
        <f>SUM(RP6:RP39)</f>
        <v>92820</v>
      </c>
      <c r="RQ40" s="9">
        <f t="shared" ref="RQ40" si="912">SUM(RQ6:RQ39)</f>
        <v>92820</v>
      </c>
      <c r="RR40" s="9">
        <f t="shared" ref="RR40" si="913">SUM(RR6:RR39)</f>
        <v>92820</v>
      </c>
      <c r="RS40" s="9">
        <f t="shared" ref="RS40" si="914">SUM(RS6:RS39)</f>
        <v>92820</v>
      </c>
      <c r="RT40" s="9">
        <f t="shared" ref="RT40" si="915">SUM(RT6:RT39)</f>
        <v>92820</v>
      </c>
      <c r="RU40" s="9">
        <f t="shared" ref="RU40" si="916">SUM(RU6:RU39)</f>
        <v>92820</v>
      </c>
      <c r="RV40" s="9">
        <f t="shared" ref="RV40" si="917">SUM(RV6:RV39)</f>
        <v>125300</v>
      </c>
      <c r="RW40" s="9">
        <f t="shared" ref="RW40" si="918">SUM(RW6:RW39)</f>
        <v>97460</v>
      </c>
      <c r="RX40" s="9">
        <f t="shared" ref="RX40" si="919">SUM(RX6:RX39)</f>
        <v>97460</v>
      </c>
      <c r="RY40" s="9">
        <f t="shared" ref="RY40" si="920">SUM(RY6:RY39)</f>
        <v>97460</v>
      </c>
      <c r="RZ40" s="9">
        <f t="shared" ref="RZ40" si="921">SUM(RZ6:RZ39)</f>
        <v>97460</v>
      </c>
      <c r="SA40" s="9">
        <f t="shared" ref="SA40" si="922">SUM(SA6:SA39)</f>
        <v>97460</v>
      </c>
      <c r="SB40" s="25">
        <f t="shared" si="767"/>
        <v>1169520</v>
      </c>
      <c r="SC40" s="9">
        <f>SUM(SC6:SC39)</f>
        <v>3000</v>
      </c>
      <c r="SD40" s="9">
        <f t="shared" ref="SD40" si="923">SUM(SD6:SD39)</f>
        <v>3000</v>
      </c>
      <c r="SE40" s="9">
        <f t="shared" ref="SE40" si="924">SUM(SE6:SE39)</f>
        <v>3000</v>
      </c>
      <c r="SF40" s="9">
        <f t="shared" ref="SF40" si="925">SUM(SF6:SF39)</f>
        <v>3000</v>
      </c>
      <c r="SG40" s="9">
        <f t="shared" ref="SG40" si="926">SUM(SG6:SG39)</f>
        <v>3000</v>
      </c>
      <c r="SH40" s="9">
        <f t="shared" ref="SH40" si="927">SUM(SH6:SH39)</f>
        <v>3000</v>
      </c>
      <c r="SI40" s="9">
        <f t="shared" ref="SI40" si="928">SUM(SI6:SI39)</f>
        <v>3000</v>
      </c>
      <c r="SJ40" s="9">
        <f t="shared" ref="SJ40" si="929">SUM(SJ6:SJ39)</f>
        <v>3000</v>
      </c>
      <c r="SK40" s="9">
        <f t="shared" ref="SK40" si="930">SUM(SK6:SK39)</f>
        <v>3000</v>
      </c>
      <c r="SL40" s="9">
        <f t="shared" ref="SL40" si="931">SUM(SL6:SL39)</f>
        <v>3000</v>
      </c>
      <c r="SM40" s="9">
        <f t="shared" ref="SM40" si="932">SUM(SM6:SM39)</f>
        <v>3000</v>
      </c>
      <c r="SN40" s="9">
        <f t="shared" ref="SN40" si="933">SUM(SN6:SN39)</f>
        <v>3000</v>
      </c>
      <c r="SO40" s="25">
        <f t="shared" si="768"/>
        <v>36000</v>
      </c>
      <c r="SP40" s="9">
        <f>SUM(SP6:SP39)</f>
        <v>2172</v>
      </c>
      <c r="SQ40" s="9">
        <f t="shared" ref="SQ40" si="934">SUM(SQ6:SQ39)</f>
        <v>2172</v>
      </c>
      <c r="SR40" s="9">
        <f t="shared" ref="SR40" si="935">SUM(SR6:SR39)</f>
        <v>2172</v>
      </c>
      <c r="SS40" s="9">
        <f t="shared" ref="SS40" si="936">SUM(SS6:SS39)</f>
        <v>2172</v>
      </c>
      <c r="ST40" s="9">
        <f t="shared" ref="ST40" si="937">SUM(ST6:ST39)</f>
        <v>2172</v>
      </c>
      <c r="SU40" s="9">
        <f t="shared" ref="SU40" si="938">SUM(SU6:SU39)</f>
        <v>2172</v>
      </c>
      <c r="SV40" s="9">
        <f t="shared" ref="SV40" si="939">SUM(SV6:SV39)</f>
        <v>2936</v>
      </c>
      <c r="SW40" s="9">
        <f t="shared" ref="SW40" si="940">SUM(SW6:SW39)</f>
        <v>2282</v>
      </c>
      <c r="SX40" s="9">
        <f t="shared" ref="SX40" si="941">SUM(SX6:SX39)</f>
        <v>2282</v>
      </c>
      <c r="SY40" s="9">
        <f t="shared" ref="SY40" si="942">SUM(SY6:SY39)</f>
        <v>2282</v>
      </c>
      <c r="SZ40" s="9">
        <f t="shared" ref="SZ40" si="943">SUM(SZ6:SZ39)</f>
        <v>2282</v>
      </c>
      <c r="TA40" s="9">
        <f t="shared" ref="TA40" si="944">SUM(TA6:TA39)</f>
        <v>2282</v>
      </c>
      <c r="TB40" s="25">
        <f t="shared" si="769"/>
        <v>27378</v>
      </c>
      <c r="TC40" s="25">
        <f t="shared" si="770"/>
        <v>1232898</v>
      </c>
      <c r="TD40" s="9">
        <f>SUM(TD6:TD39)</f>
        <v>351000</v>
      </c>
      <c r="TE40" s="9">
        <f t="shared" ref="TE40" si="945">SUM(TE6:TE39)</f>
        <v>351000</v>
      </c>
      <c r="TF40" s="9">
        <f t="shared" ref="TF40" si="946">SUM(TF6:TF39)</f>
        <v>351000</v>
      </c>
      <c r="TG40" s="9">
        <f t="shared" ref="TG40" si="947">SUM(TG6:TG39)</f>
        <v>351000</v>
      </c>
      <c r="TH40" s="9">
        <f t="shared" ref="TH40" si="948">SUM(TH6:TH39)</f>
        <v>351000</v>
      </c>
      <c r="TI40" s="9">
        <f t="shared" ref="TI40" si="949">SUM(TI6:TI39)</f>
        <v>351000</v>
      </c>
      <c r="TJ40" s="9">
        <f t="shared" ref="TJ40" si="950">SUM(TJ6:TJ39)</f>
        <v>452430</v>
      </c>
      <c r="TK40" s="9">
        <f t="shared" ref="TK40" si="951">SUM(TK6:TK39)</f>
        <v>365490</v>
      </c>
      <c r="TL40" s="9">
        <f t="shared" ref="TL40" si="952">SUM(TL6:TL39)</f>
        <v>365490</v>
      </c>
      <c r="TM40" s="9">
        <f t="shared" ref="TM40" si="953">SUM(TM6:TM39)</f>
        <v>365490</v>
      </c>
      <c r="TN40" s="9">
        <f t="shared" ref="TN40" si="954">SUM(TN6:TN39)</f>
        <v>365490</v>
      </c>
      <c r="TO40" s="9">
        <f t="shared" ref="TO40" si="955">SUM(TO6:TO39)</f>
        <v>365490</v>
      </c>
      <c r="TP40" s="25">
        <f t="shared" si="771"/>
        <v>4385880</v>
      </c>
      <c r="TQ40" s="9">
        <f>SUM(TQ6:TQ39)</f>
        <v>11250</v>
      </c>
      <c r="TR40" s="9">
        <f t="shared" ref="TR40" si="956">SUM(TR6:TR39)</f>
        <v>11250</v>
      </c>
      <c r="TS40" s="9">
        <f t="shared" ref="TS40" si="957">SUM(TS6:TS39)</f>
        <v>11250</v>
      </c>
      <c r="TT40" s="9">
        <f t="shared" ref="TT40" si="958">SUM(TT6:TT39)</f>
        <v>11250</v>
      </c>
      <c r="TU40" s="9">
        <f t="shared" ref="TU40" si="959">SUM(TU6:TU39)</f>
        <v>11250</v>
      </c>
      <c r="TV40" s="9">
        <f t="shared" ref="TV40" si="960">SUM(TV6:TV39)</f>
        <v>11250</v>
      </c>
      <c r="TW40" s="9">
        <f t="shared" ref="TW40" si="961">SUM(TW6:TW39)</f>
        <v>11250</v>
      </c>
      <c r="TX40" s="9">
        <f t="shared" ref="TX40" si="962">SUM(TX6:TX39)</f>
        <v>11250</v>
      </c>
      <c r="TY40" s="9">
        <f t="shared" ref="TY40" si="963">SUM(TY6:TY39)</f>
        <v>11250</v>
      </c>
      <c r="TZ40" s="9">
        <f t="shared" ref="TZ40" si="964">SUM(TZ6:TZ39)</f>
        <v>11250</v>
      </c>
      <c r="UA40" s="9">
        <f t="shared" ref="UA40" si="965">SUM(UA6:UA39)</f>
        <v>11250</v>
      </c>
      <c r="UB40" s="9">
        <f t="shared" ref="UB40" si="966">SUM(UB6:UB39)</f>
        <v>11250</v>
      </c>
      <c r="UC40" s="25">
        <f t="shared" si="772"/>
        <v>135000</v>
      </c>
      <c r="UD40" s="9">
        <f>SUM(UD6:UD39)</f>
        <v>7111</v>
      </c>
      <c r="UE40" s="9">
        <f t="shared" ref="UE40" si="967">SUM(UE6:UE39)</f>
        <v>7111</v>
      </c>
      <c r="UF40" s="9">
        <f t="shared" ref="UF40" si="968">SUM(UF6:UF39)</f>
        <v>7111</v>
      </c>
      <c r="UG40" s="9">
        <f t="shared" ref="UG40" si="969">SUM(UG6:UG39)</f>
        <v>7111</v>
      </c>
      <c r="UH40" s="9">
        <f t="shared" ref="UH40" si="970">SUM(UH6:UH39)</f>
        <v>7111</v>
      </c>
      <c r="UI40" s="9">
        <f t="shared" ref="UI40" si="971">SUM(UI6:UI39)</f>
        <v>7111</v>
      </c>
      <c r="UJ40" s="9">
        <f t="shared" ref="UJ40" si="972">SUM(UJ6:UJ39)</f>
        <v>9251</v>
      </c>
      <c r="UK40" s="9">
        <f t="shared" ref="UK40" si="973">SUM(UK6:UK39)</f>
        <v>7415</v>
      </c>
      <c r="UL40" s="9">
        <f t="shared" ref="UL40" si="974">SUM(UL6:UL39)</f>
        <v>7415</v>
      </c>
      <c r="UM40" s="9">
        <f t="shared" ref="UM40" si="975">SUM(UM6:UM39)</f>
        <v>7415</v>
      </c>
      <c r="UN40" s="9">
        <f t="shared" ref="UN40" si="976">SUM(UN6:UN39)</f>
        <v>7415</v>
      </c>
      <c r="UO40" s="9">
        <f t="shared" ref="UO40" si="977">SUM(UO6:UO39)</f>
        <v>7415</v>
      </c>
      <c r="UP40" s="25">
        <f t="shared" si="773"/>
        <v>88992</v>
      </c>
      <c r="UQ40" s="25">
        <f t="shared" si="774"/>
        <v>4609872</v>
      </c>
      <c r="UR40" s="9">
        <f>SUM(UR6:UR39)</f>
        <v>69030</v>
      </c>
      <c r="US40" s="9">
        <f t="shared" ref="US40" si="978">SUM(US6:US39)</f>
        <v>69030</v>
      </c>
      <c r="UT40" s="9">
        <f t="shared" ref="UT40" si="979">SUM(UT6:UT39)</f>
        <v>69030</v>
      </c>
      <c r="UU40" s="9">
        <f t="shared" ref="UU40" si="980">SUM(UU6:UU39)</f>
        <v>69030</v>
      </c>
      <c r="UV40" s="9">
        <f t="shared" ref="UV40" si="981">SUM(UV6:UV39)</f>
        <v>69030</v>
      </c>
      <c r="UW40" s="9">
        <f t="shared" ref="UW40" si="982">SUM(UW6:UW39)</f>
        <v>69030</v>
      </c>
      <c r="UX40" s="9">
        <f t="shared" ref="UX40" si="983">SUM(UX6:UX39)</f>
        <v>91920</v>
      </c>
      <c r="UY40" s="9">
        <f t="shared" ref="UY40" si="984">SUM(UY6:UY39)</f>
        <v>72300</v>
      </c>
      <c r="UZ40" s="9">
        <f t="shared" ref="UZ40" si="985">SUM(UZ6:UZ39)</f>
        <v>72300</v>
      </c>
      <c r="VA40" s="9">
        <f t="shared" ref="VA40" si="986">SUM(VA6:VA39)</f>
        <v>72300</v>
      </c>
      <c r="VB40" s="9">
        <f t="shared" ref="VB40" si="987">SUM(VB6:VB39)</f>
        <v>72300</v>
      </c>
      <c r="VC40" s="9">
        <f t="shared" ref="VC40" si="988">SUM(VC6:VC39)</f>
        <v>72300</v>
      </c>
      <c r="VD40" s="25">
        <f t="shared" si="775"/>
        <v>867600</v>
      </c>
      <c r="VE40" s="9">
        <f>SUM(VE6:VE39)</f>
        <v>2250</v>
      </c>
      <c r="VF40" s="9">
        <f t="shared" ref="VF40" si="989">SUM(VF6:VF39)</f>
        <v>2250</v>
      </c>
      <c r="VG40" s="9">
        <f t="shared" ref="VG40" si="990">SUM(VG6:VG39)</f>
        <v>2250</v>
      </c>
      <c r="VH40" s="9">
        <f t="shared" ref="VH40" si="991">SUM(VH6:VH39)</f>
        <v>2250</v>
      </c>
      <c r="VI40" s="9">
        <f t="shared" ref="VI40" si="992">SUM(VI6:VI39)</f>
        <v>2250</v>
      </c>
      <c r="VJ40" s="9">
        <f t="shared" ref="VJ40" si="993">SUM(VJ6:VJ39)</f>
        <v>2250</v>
      </c>
      <c r="VK40" s="9">
        <f t="shared" ref="VK40" si="994">SUM(VK6:VK39)</f>
        <v>2250</v>
      </c>
      <c r="VL40" s="9">
        <f t="shared" ref="VL40" si="995">SUM(VL6:VL39)</f>
        <v>2250</v>
      </c>
      <c r="VM40" s="9">
        <f t="shared" ref="VM40" si="996">SUM(VM6:VM39)</f>
        <v>2250</v>
      </c>
      <c r="VN40" s="9">
        <f t="shared" ref="VN40" si="997">SUM(VN6:VN39)</f>
        <v>2250</v>
      </c>
      <c r="VO40" s="9">
        <f t="shared" ref="VO40" si="998">SUM(VO6:VO39)</f>
        <v>2250</v>
      </c>
      <c r="VP40" s="9">
        <f t="shared" ref="VP40" si="999">SUM(VP6:VP39)</f>
        <v>2250</v>
      </c>
      <c r="VQ40" s="25">
        <f t="shared" si="776"/>
        <v>27000</v>
      </c>
      <c r="VR40" s="9">
        <f>SUM(VR6:VR39)</f>
        <v>2071</v>
      </c>
      <c r="VS40" s="9">
        <f t="shared" ref="VS40" si="1000">SUM(VS6:VS39)</f>
        <v>2071</v>
      </c>
      <c r="VT40" s="9">
        <f t="shared" ref="VT40" si="1001">SUM(VT6:VT39)</f>
        <v>2071</v>
      </c>
      <c r="VU40" s="9">
        <f t="shared" ref="VU40" si="1002">SUM(VU6:VU39)</f>
        <v>2071</v>
      </c>
      <c r="VV40" s="9">
        <f t="shared" ref="VV40" si="1003">SUM(VV6:VV39)</f>
        <v>2071</v>
      </c>
      <c r="VW40" s="9">
        <f t="shared" ref="VW40" si="1004">SUM(VW6:VW39)</f>
        <v>2071</v>
      </c>
      <c r="VX40" s="9">
        <f t="shared" ref="VX40" si="1005">SUM(VX6:VX39)</f>
        <v>2757</v>
      </c>
      <c r="VY40" s="9">
        <f t="shared" ref="VY40" si="1006">SUM(VY6:VY39)</f>
        <v>2169</v>
      </c>
      <c r="VZ40" s="9">
        <f t="shared" ref="VZ40" si="1007">SUM(VZ6:VZ39)</f>
        <v>2169</v>
      </c>
      <c r="WA40" s="9">
        <f t="shared" ref="WA40" si="1008">SUM(WA6:WA39)</f>
        <v>2169</v>
      </c>
      <c r="WB40" s="9">
        <f t="shared" ref="WB40" si="1009">SUM(WB6:WB39)</f>
        <v>2169</v>
      </c>
      <c r="WC40" s="9">
        <f t="shared" ref="WC40" si="1010">SUM(WC6:WC39)</f>
        <v>2169</v>
      </c>
      <c r="WD40" s="25">
        <f t="shared" si="777"/>
        <v>26028</v>
      </c>
      <c r="WE40" s="25">
        <f t="shared" si="778"/>
        <v>920628</v>
      </c>
      <c r="WF40" s="9">
        <f>SUM(WF6:WF39)</f>
        <v>46590</v>
      </c>
      <c r="WG40" s="9">
        <f t="shared" ref="WG40" si="1011">SUM(WG6:WG39)</f>
        <v>46590</v>
      </c>
      <c r="WH40" s="9">
        <f t="shared" ref="WH40" si="1012">SUM(WH6:WH39)</f>
        <v>46590</v>
      </c>
      <c r="WI40" s="9">
        <f t="shared" ref="WI40" si="1013">SUM(WI6:WI39)</f>
        <v>46590</v>
      </c>
      <c r="WJ40" s="9">
        <f t="shared" ref="WJ40" si="1014">SUM(WJ6:WJ39)</f>
        <v>46590</v>
      </c>
      <c r="WK40" s="9">
        <f t="shared" ref="WK40" si="1015">SUM(WK6:WK39)</f>
        <v>46590</v>
      </c>
      <c r="WL40" s="9">
        <f t="shared" ref="WL40" si="1016">SUM(WL6:WL39)</f>
        <v>62830</v>
      </c>
      <c r="WM40" s="9">
        <f t="shared" ref="WM40" si="1017">SUM(WM6:WM39)</f>
        <v>48910</v>
      </c>
      <c r="WN40" s="9">
        <f t="shared" ref="WN40" si="1018">SUM(WN6:WN39)</f>
        <v>48910</v>
      </c>
      <c r="WO40" s="9">
        <f t="shared" ref="WO40" si="1019">SUM(WO6:WO39)</f>
        <v>48910</v>
      </c>
      <c r="WP40" s="9">
        <f t="shared" ref="WP40" si="1020">SUM(WP6:WP39)</f>
        <v>48910</v>
      </c>
      <c r="WQ40" s="9">
        <f t="shared" ref="WQ40" si="1021">SUM(WQ6:WQ39)</f>
        <v>48910</v>
      </c>
      <c r="WR40" s="25">
        <f t="shared" si="779"/>
        <v>586920</v>
      </c>
      <c r="WS40" s="9">
        <f>SUM(WS6:WS39)</f>
        <v>1500</v>
      </c>
      <c r="WT40" s="9">
        <f t="shared" ref="WT40" si="1022">SUM(WT6:WT39)</f>
        <v>1500</v>
      </c>
      <c r="WU40" s="9">
        <f t="shared" ref="WU40" si="1023">SUM(WU6:WU39)</f>
        <v>1500</v>
      </c>
      <c r="WV40" s="9">
        <f t="shared" ref="WV40" si="1024">SUM(WV6:WV39)</f>
        <v>1500</v>
      </c>
      <c r="WW40" s="9">
        <f t="shared" ref="WW40" si="1025">SUM(WW6:WW39)</f>
        <v>1500</v>
      </c>
      <c r="WX40" s="9">
        <f t="shared" ref="WX40" si="1026">SUM(WX6:WX39)</f>
        <v>1500</v>
      </c>
      <c r="WY40" s="9">
        <f t="shared" ref="WY40" si="1027">SUM(WY6:WY39)</f>
        <v>1500</v>
      </c>
      <c r="WZ40" s="9">
        <f t="shared" ref="WZ40" si="1028">SUM(WZ6:WZ39)</f>
        <v>1500</v>
      </c>
      <c r="XA40" s="9">
        <f t="shared" ref="XA40" si="1029">SUM(XA6:XA39)</f>
        <v>1500</v>
      </c>
      <c r="XB40" s="9">
        <f t="shared" ref="XB40" si="1030">SUM(XB6:XB39)</f>
        <v>1500</v>
      </c>
      <c r="XC40" s="9">
        <f t="shared" ref="XC40" si="1031">SUM(XC6:XC39)</f>
        <v>1500</v>
      </c>
      <c r="XD40" s="9">
        <f t="shared" ref="XD40" si="1032">SUM(XD6:XD39)</f>
        <v>1500</v>
      </c>
      <c r="XE40" s="25">
        <f t="shared" si="780"/>
        <v>18000</v>
      </c>
      <c r="XF40" s="9">
        <f>SUM(XF6:XF39)</f>
        <v>680</v>
      </c>
      <c r="XG40" s="9">
        <f t="shared" ref="XG40" si="1033">SUM(XG6:XG39)</f>
        <v>680</v>
      </c>
      <c r="XH40" s="9">
        <f t="shared" ref="XH40" si="1034">SUM(XH6:XH39)</f>
        <v>680</v>
      </c>
      <c r="XI40" s="9">
        <f t="shared" ref="XI40" si="1035">SUM(XI6:XI39)</f>
        <v>680</v>
      </c>
      <c r="XJ40" s="9">
        <f t="shared" ref="XJ40" si="1036">SUM(XJ6:XJ39)</f>
        <v>680</v>
      </c>
      <c r="XK40" s="9">
        <f t="shared" ref="XK40" si="1037">SUM(XK6:XK39)</f>
        <v>680</v>
      </c>
      <c r="XL40" s="9">
        <f t="shared" ref="XL40" si="1038">SUM(XL6:XL39)</f>
        <v>917</v>
      </c>
      <c r="XM40" s="9">
        <f t="shared" ref="XM40" si="1039">SUM(XM6:XM39)</f>
        <v>713</v>
      </c>
      <c r="XN40" s="9">
        <f t="shared" ref="XN40" si="1040">SUM(XN6:XN39)</f>
        <v>713</v>
      </c>
      <c r="XO40" s="9">
        <f t="shared" ref="XO40" si="1041">SUM(XO6:XO39)</f>
        <v>713</v>
      </c>
      <c r="XP40" s="9">
        <f t="shared" ref="XP40" si="1042">SUM(XP6:XP39)</f>
        <v>713</v>
      </c>
      <c r="XQ40" s="9">
        <f t="shared" ref="XQ40" si="1043">SUM(XQ6:XQ39)</f>
        <v>713</v>
      </c>
      <c r="XR40" s="25">
        <f t="shared" si="781"/>
        <v>8562</v>
      </c>
      <c r="XS40" s="25">
        <f t="shared" si="782"/>
        <v>613482</v>
      </c>
      <c r="XT40" s="9">
        <f>SUM(XT6:XT39)</f>
        <v>71700</v>
      </c>
      <c r="XU40" s="9">
        <f t="shared" ref="XU40" si="1044">SUM(XU6:XU39)</f>
        <v>71700</v>
      </c>
      <c r="XV40" s="9">
        <f t="shared" ref="XV40" si="1045">SUM(XV6:XV39)</f>
        <v>71700</v>
      </c>
      <c r="XW40" s="9">
        <f t="shared" ref="XW40" si="1046">SUM(XW6:XW39)</f>
        <v>71700</v>
      </c>
      <c r="XX40" s="9">
        <f t="shared" ref="XX40" si="1047">SUM(XX6:XX39)</f>
        <v>71700</v>
      </c>
      <c r="XY40" s="9">
        <f t="shared" ref="XY40" si="1048">SUM(XY6:XY39)</f>
        <v>71700</v>
      </c>
      <c r="XZ40" s="9">
        <f t="shared" ref="XZ40" si="1049">SUM(XZ6:XZ39)</f>
        <v>96690</v>
      </c>
      <c r="YA40" s="9">
        <f t="shared" ref="YA40" si="1050">SUM(YA6:YA39)</f>
        <v>75270</v>
      </c>
      <c r="YB40" s="9">
        <f t="shared" ref="YB40" si="1051">SUM(YB6:YB39)</f>
        <v>75270</v>
      </c>
      <c r="YC40" s="9">
        <f t="shared" ref="YC40" si="1052">SUM(YC6:YC39)</f>
        <v>75270</v>
      </c>
      <c r="YD40" s="9">
        <f t="shared" ref="YD40" si="1053">SUM(YD6:YD39)</f>
        <v>75270</v>
      </c>
      <c r="YE40" s="9">
        <f t="shared" ref="YE40" si="1054">SUM(YE6:YE39)</f>
        <v>75270</v>
      </c>
      <c r="YF40" s="25">
        <f t="shared" si="783"/>
        <v>903240</v>
      </c>
      <c r="YG40" s="9">
        <f>SUM(YG6:YG39)</f>
        <v>2250</v>
      </c>
      <c r="YH40" s="9">
        <f t="shared" ref="YH40" si="1055">SUM(YH6:YH39)</f>
        <v>2250</v>
      </c>
      <c r="YI40" s="9">
        <f t="shared" ref="YI40" si="1056">SUM(YI6:YI39)</f>
        <v>2250</v>
      </c>
      <c r="YJ40" s="9">
        <f t="shared" ref="YJ40" si="1057">SUM(YJ6:YJ39)</f>
        <v>2250</v>
      </c>
      <c r="YK40" s="9">
        <f t="shared" ref="YK40" si="1058">SUM(YK6:YK39)</f>
        <v>2250</v>
      </c>
      <c r="YL40" s="9">
        <f t="shared" ref="YL40" si="1059">SUM(YL6:YL39)</f>
        <v>2250</v>
      </c>
      <c r="YM40" s="9">
        <f t="shared" ref="YM40" si="1060">SUM(YM6:YM39)</f>
        <v>2250</v>
      </c>
      <c r="YN40" s="9">
        <f t="shared" ref="YN40" si="1061">SUM(YN6:YN39)</f>
        <v>2250</v>
      </c>
      <c r="YO40" s="9">
        <f t="shared" ref="YO40" si="1062">SUM(YO6:YO39)</f>
        <v>2250</v>
      </c>
      <c r="YP40" s="9">
        <f t="shared" ref="YP40" si="1063">SUM(YP6:YP39)</f>
        <v>2250</v>
      </c>
      <c r="YQ40" s="9">
        <f t="shared" ref="YQ40" si="1064">SUM(YQ6:YQ39)</f>
        <v>2250</v>
      </c>
      <c r="YR40" s="9">
        <f t="shared" ref="YR40" si="1065">SUM(YR6:YR39)</f>
        <v>2250</v>
      </c>
      <c r="YS40" s="25">
        <f t="shared" si="784"/>
        <v>27000</v>
      </c>
      <c r="YT40" s="9">
        <f>SUM(YT6:YT39)</f>
        <v>2151</v>
      </c>
      <c r="YU40" s="9">
        <f t="shared" ref="YU40" si="1066">SUM(YU6:YU39)</f>
        <v>2151</v>
      </c>
      <c r="YV40" s="9">
        <f t="shared" ref="YV40" si="1067">SUM(YV6:YV39)</f>
        <v>2151</v>
      </c>
      <c r="YW40" s="9">
        <f t="shared" ref="YW40" si="1068">SUM(YW6:YW39)</f>
        <v>2151</v>
      </c>
      <c r="YX40" s="9">
        <f t="shared" ref="YX40" si="1069">SUM(YX6:YX39)</f>
        <v>2151</v>
      </c>
      <c r="YY40" s="9">
        <f t="shared" ref="YY40" si="1070">SUM(YY6:YY39)</f>
        <v>2151</v>
      </c>
      <c r="YZ40" s="9">
        <f t="shared" ref="YZ40" si="1071">SUM(YZ6:YZ39)</f>
        <v>2900</v>
      </c>
      <c r="ZA40" s="9">
        <f t="shared" ref="ZA40" si="1072">SUM(ZA6:ZA39)</f>
        <v>2258</v>
      </c>
      <c r="ZB40" s="9">
        <f t="shared" ref="ZB40" si="1073">SUM(ZB6:ZB39)</f>
        <v>2258</v>
      </c>
      <c r="ZC40" s="9">
        <f t="shared" ref="ZC40" si="1074">SUM(ZC6:ZC39)</f>
        <v>2258</v>
      </c>
      <c r="ZD40" s="9">
        <f t="shared" ref="ZD40" si="1075">SUM(ZD6:ZD39)</f>
        <v>2258</v>
      </c>
      <c r="ZE40" s="9">
        <f t="shared" ref="ZE40" si="1076">SUM(ZE6:ZE39)</f>
        <v>2258</v>
      </c>
      <c r="ZF40" s="25">
        <f t="shared" si="785"/>
        <v>27096</v>
      </c>
      <c r="ZG40" s="25">
        <f t="shared" si="786"/>
        <v>957336</v>
      </c>
      <c r="ZH40" s="9">
        <f>SUM(ZH6:ZH39)</f>
        <v>51824.52</v>
      </c>
      <c r="ZI40" s="9">
        <f t="shared" ref="ZI40" si="1077">SUM(ZI6:ZI39)</f>
        <v>44640</v>
      </c>
      <c r="ZJ40" s="9">
        <f t="shared" ref="ZJ40" si="1078">SUM(ZJ6:ZJ39)</f>
        <v>44640</v>
      </c>
      <c r="ZK40" s="9">
        <f t="shared" ref="ZK40" si="1079">SUM(ZK6:ZK39)</f>
        <v>44640</v>
      </c>
      <c r="ZL40" s="9">
        <f t="shared" ref="ZL40" si="1080">SUM(ZL6:ZL39)</f>
        <v>44640</v>
      </c>
      <c r="ZM40" s="9">
        <f t="shared" ref="ZM40" si="1081">SUM(ZM6:ZM39)</f>
        <v>22290</v>
      </c>
      <c r="ZN40" s="9">
        <f t="shared" ref="ZN40" si="1082">SUM(ZN6:ZN39)</f>
        <v>79660</v>
      </c>
      <c r="ZO40" s="9">
        <f t="shared" ref="ZO40" si="1083">SUM(ZO6:ZO39)</f>
        <v>46000</v>
      </c>
      <c r="ZP40" s="9">
        <f t="shared" ref="ZP40" si="1084">SUM(ZP6:ZP39)</f>
        <v>46000</v>
      </c>
      <c r="ZQ40" s="9">
        <f t="shared" ref="ZQ40" si="1085">SUM(ZQ6:ZQ39)</f>
        <v>46000</v>
      </c>
      <c r="ZR40" s="9">
        <f t="shared" ref="ZR40" si="1086">SUM(ZR6:ZR39)</f>
        <v>46000</v>
      </c>
      <c r="ZS40" s="9">
        <f t="shared" ref="ZS40" si="1087">SUM(ZS6:ZS39)</f>
        <v>46000</v>
      </c>
      <c r="ZT40" s="25">
        <f t="shared" si="787"/>
        <v>562334.52</v>
      </c>
      <c r="ZU40" s="9">
        <f>SUM(ZU6:ZU39)</f>
        <v>1859</v>
      </c>
      <c r="ZV40" s="9">
        <f t="shared" ref="ZV40" si="1088">SUM(ZV6:ZV39)</f>
        <v>1500</v>
      </c>
      <c r="ZW40" s="9">
        <f t="shared" ref="ZW40" si="1089">SUM(ZW6:ZW39)</f>
        <v>1500</v>
      </c>
      <c r="ZX40" s="9">
        <f t="shared" ref="ZX40" si="1090">SUM(ZX6:ZX39)</f>
        <v>1500</v>
      </c>
      <c r="ZY40" s="9">
        <f t="shared" ref="ZY40" si="1091">SUM(ZY6:ZY39)</f>
        <v>1500</v>
      </c>
      <c r="ZZ40" s="9">
        <f t="shared" ref="ZZ40" si="1092">SUM(ZZ6:ZZ39)</f>
        <v>750</v>
      </c>
      <c r="AAA40" s="9">
        <f t="shared" ref="AAA40" si="1093">SUM(AAA6:AAA39)</f>
        <v>2250</v>
      </c>
      <c r="AAB40" s="9">
        <f t="shared" ref="AAB40" si="1094">SUM(AAB6:AAB39)</f>
        <v>1500</v>
      </c>
      <c r="AAC40" s="9">
        <f t="shared" ref="AAC40" si="1095">SUM(AAC6:AAC39)</f>
        <v>1500</v>
      </c>
      <c r="AAD40" s="9">
        <f t="shared" ref="AAD40" si="1096">SUM(AAD6:AAD39)</f>
        <v>1500</v>
      </c>
      <c r="AAE40" s="9">
        <f t="shared" ref="AAE40" si="1097">SUM(AAE6:AAE39)</f>
        <v>1500</v>
      </c>
      <c r="AAF40" s="9">
        <f t="shared" ref="AAF40" si="1098">SUM(AAF6:AAF39)</f>
        <v>1500</v>
      </c>
      <c r="AAG40" s="25">
        <f t="shared" si="788"/>
        <v>18359</v>
      </c>
      <c r="AAH40" s="9">
        <f>SUM(AAH6:AAH39)</f>
        <v>1556</v>
      </c>
      <c r="AAI40" s="9">
        <f t="shared" ref="AAI40" si="1099">SUM(AAI6:AAI39)</f>
        <v>1340</v>
      </c>
      <c r="AAJ40" s="9">
        <f t="shared" ref="AAJ40" si="1100">SUM(AAJ6:AAJ39)</f>
        <v>1340</v>
      </c>
      <c r="AAK40" s="9">
        <f t="shared" ref="AAK40" si="1101">SUM(AAK6:AAK39)</f>
        <v>1340</v>
      </c>
      <c r="AAL40" s="9">
        <f t="shared" ref="AAL40" si="1102">SUM(AAL6:AAL39)</f>
        <v>1340</v>
      </c>
      <c r="AAM40" s="9">
        <f t="shared" ref="AAM40" si="1103">SUM(AAM6:AAM39)</f>
        <v>669</v>
      </c>
      <c r="AAN40" s="9">
        <f t="shared" ref="AAN40" si="1104">SUM(AAN6:AAN39)</f>
        <v>1710</v>
      </c>
      <c r="AAO40" s="9">
        <f t="shared" ref="AAO40" si="1105">SUM(AAO6:AAO39)</f>
        <v>1381</v>
      </c>
      <c r="AAP40" s="9">
        <f t="shared" ref="AAP40" si="1106">SUM(AAP6:AAP39)</f>
        <v>1381</v>
      </c>
      <c r="AAQ40" s="9">
        <f t="shared" ref="AAQ40" si="1107">SUM(AAQ6:AAQ39)</f>
        <v>1381</v>
      </c>
      <c r="AAR40" s="9">
        <f t="shared" ref="AAR40" si="1108">SUM(AAR6:AAR39)</f>
        <v>1381</v>
      </c>
      <c r="AAS40" s="9">
        <f t="shared" ref="AAS40" si="1109">SUM(AAS6:AAS39)</f>
        <v>1381</v>
      </c>
      <c r="AAT40" s="25">
        <f t="shared" si="789"/>
        <v>16200</v>
      </c>
      <c r="AAU40" s="25">
        <f t="shared" si="790"/>
        <v>596893.52</v>
      </c>
      <c r="AAV40" s="9">
        <f>SUM(AAV6:AAV39)</f>
        <v>88790</v>
      </c>
      <c r="AAW40" s="9">
        <f t="shared" ref="AAW40" si="1110">SUM(AAW6:AAW39)</f>
        <v>88790</v>
      </c>
      <c r="AAX40" s="9">
        <f t="shared" ref="AAX40" si="1111">SUM(AAX6:AAX39)</f>
        <v>88790</v>
      </c>
      <c r="AAY40" s="9">
        <f t="shared" ref="AAY40" si="1112">SUM(AAY6:AAY39)</f>
        <v>68560</v>
      </c>
      <c r="AAZ40" s="9">
        <f t="shared" ref="AAZ40" si="1113">SUM(AAZ6:AAZ39)</f>
        <v>68560</v>
      </c>
      <c r="ABA40" s="9">
        <f t="shared" ref="ABA40" si="1114">SUM(ABA6:ABA39)</f>
        <v>68560</v>
      </c>
      <c r="ABB40" s="9">
        <f t="shared" ref="ABB40" si="1115">SUM(ABB6:ABB39)</f>
        <v>87590</v>
      </c>
      <c r="ABC40" s="9">
        <f t="shared" ref="ABC40" si="1116">SUM(ABC6:ABC39)</f>
        <v>70880</v>
      </c>
      <c r="ABD40" s="9">
        <f t="shared" ref="ABD40" si="1117">SUM(ABD6:ABD39)</f>
        <v>70880</v>
      </c>
      <c r="ABE40" s="9">
        <f t="shared" ref="ABE40" si="1118">SUM(ABE6:ABE39)</f>
        <v>70880</v>
      </c>
      <c r="ABF40" s="9">
        <f t="shared" ref="ABF40" si="1119">SUM(ABF6:ABF39)</f>
        <v>70880</v>
      </c>
      <c r="ABG40" s="9">
        <f t="shared" ref="ABG40" si="1120">SUM(ABG6:ABG39)</f>
        <v>70880</v>
      </c>
      <c r="ABH40" s="25">
        <f t="shared" si="791"/>
        <v>914040</v>
      </c>
      <c r="ABI40" s="9">
        <f>SUM(ABI6:ABI39)</f>
        <v>3000</v>
      </c>
      <c r="ABJ40" s="9">
        <f t="shared" ref="ABJ40" si="1121">SUM(ABJ6:ABJ39)</f>
        <v>3000</v>
      </c>
      <c r="ABK40" s="9">
        <f t="shared" ref="ABK40" si="1122">SUM(ABK6:ABK39)</f>
        <v>3000</v>
      </c>
      <c r="ABL40" s="9">
        <f t="shared" ref="ABL40" si="1123">SUM(ABL6:ABL39)</f>
        <v>2250</v>
      </c>
      <c r="ABM40" s="9">
        <f t="shared" ref="ABM40" si="1124">SUM(ABM6:ABM39)</f>
        <v>2250</v>
      </c>
      <c r="ABN40" s="9">
        <f t="shared" ref="ABN40" si="1125">SUM(ABN6:ABN39)</f>
        <v>2250</v>
      </c>
      <c r="ABO40" s="9">
        <f t="shared" ref="ABO40" si="1126">SUM(ABO6:ABO39)</f>
        <v>2250</v>
      </c>
      <c r="ABP40" s="9">
        <f t="shared" ref="ABP40" si="1127">SUM(ABP6:ABP39)</f>
        <v>2250</v>
      </c>
      <c r="ABQ40" s="9">
        <f t="shared" ref="ABQ40" si="1128">SUM(ABQ6:ABQ39)</f>
        <v>2250</v>
      </c>
      <c r="ABR40" s="9">
        <f t="shared" ref="ABR40" si="1129">SUM(ABR6:ABR39)</f>
        <v>2250</v>
      </c>
      <c r="ABS40" s="9">
        <f t="shared" ref="ABS40" si="1130">SUM(ABS6:ABS39)</f>
        <v>2250</v>
      </c>
      <c r="ABT40" s="9">
        <f t="shared" ref="ABT40" si="1131">SUM(ABT6:ABT39)</f>
        <v>2250</v>
      </c>
      <c r="ABU40" s="25">
        <f t="shared" si="792"/>
        <v>29250</v>
      </c>
      <c r="ABV40" s="9">
        <f>SUM(ABV6:ABV39)</f>
        <v>2057</v>
      </c>
      <c r="ABW40" s="9">
        <f t="shared" ref="ABW40" si="1132">SUM(ABW6:ABW39)</f>
        <v>2057</v>
      </c>
      <c r="ABX40" s="9">
        <f t="shared" ref="ABX40" si="1133">SUM(ABX6:ABX39)</f>
        <v>2057</v>
      </c>
      <c r="ABY40" s="9">
        <f t="shared" ref="ABY40" si="1134">SUM(ABY6:ABY39)</f>
        <v>2057</v>
      </c>
      <c r="ABZ40" s="9">
        <f t="shared" ref="ABZ40" si="1135">SUM(ABZ6:ABZ39)</f>
        <v>2057</v>
      </c>
      <c r="ACA40" s="9">
        <f t="shared" ref="ACA40" si="1136">SUM(ACA6:ACA39)</f>
        <v>2057</v>
      </c>
      <c r="ACB40" s="9">
        <f t="shared" ref="ACB40" si="1137">SUM(ACB6:ACB39)</f>
        <v>2547</v>
      </c>
      <c r="ACC40" s="9">
        <f t="shared" ref="ACC40" si="1138">SUM(ACC6:ACC39)</f>
        <v>2127</v>
      </c>
      <c r="ACD40" s="9">
        <f t="shared" ref="ACD40" si="1139">SUM(ACD6:ACD39)</f>
        <v>2127</v>
      </c>
      <c r="ACE40" s="9">
        <f t="shared" ref="ACE40" si="1140">SUM(ACE6:ACE39)</f>
        <v>2127</v>
      </c>
      <c r="ACF40" s="9">
        <f t="shared" ref="ACF40" si="1141">SUM(ACF6:ACF39)</f>
        <v>2127</v>
      </c>
      <c r="ACG40" s="9">
        <f t="shared" ref="ACG40" si="1142">SUM(ACG6:ACG39)</f>
        <v>2127</v>
      </c>
      <c r="ACH40" s="25">
        <f t="shared" si="793"/>
        <v>25524</v>
      </c>
      <c r="ACI40" s="25">
        <f t="shared" si="794"/>
        <v>968814</v>
      </c>
      <c r="ACJ40" s="9">
        <f>SUM(ACJ6:ACJ39)</f>
        <v>216730</v>
      </c>
      <c r="ACK40" s="9">
        <f t="shared" ref="ACK40" si="1143">SUM(ACK6:ACK39)</f>
        <v>216730</v>
      </c>
      <c r="ACL40" s="9">
        <f t="shared" ref="ACL40" si="1144">SUM(ACL6:ACL39)</f>
        <v>216730</v>
      </c>
      <c r="ACM40" s="9">
        <f t="shared" ref="ACM40" si="1145">SUM(ACM6:ACM39)</f>
        <v>216730</v>
      </c>
      <c r="ACN40" s="9">
        <f t="shared" ref="ACN40" si="1146">SUM(ACN6:ACN39)</f>
        <v>216730</v>
      </c>
      <c r="ACO40" s="9">
        <f t="shared" ref="ACO40" si="1147">SUM(ACO6:ACO39)</f>
        <v>216730</v>
      </c>
      <c r="ACP40" s="9">
        <f t="shared" ref="ACP40" si="1148">SUM(ACP6:ACP39)</f>
        <v>292890</v>
      </c>
      <c r="ACQ40" s="9">
        <f t="shared" ref="ACQ40" si="1149">SUM(ACQ6:ACQ39)</f>
        <v>227610</v>
      </c>
      <c r="ACR40" s="9">
        <f t="shared" ref="ACR40" si="1150">SUM(ACR6:ACR39)</f>
        <v>227610</v>
      </c>
      <c r="ACS40" s="9">
        <f t="shared" ref="ACS40" si="1151">SUM(ACS6:ACS39)</f>
        <v>227610</v>
      </c>
      <c r="ACT40" s="9">
        <f t="shared" ref="ACT40" si="1152">SUM(ACT6:ACT39)</f>
        <v>227610</v>
      </c>
      <c r="ACU40" s="9">
        <f t="shared" ref="ACU40" si="1153">SUM(ACU6:ACU39)</f>
        <v>227610</v>
      </c>
      <c r="ACV40" s="25">
        <f t="shared" si="795"/>
        <v>2731320</v>
      </c>
      <c r="ACW40" s="9">
        <f>SUM(ACW6:ACW39)</f>
        <v>6750</v>
      </c>
      <c r="ACX40" s="9">
        <f t="shared" ref="ACX40" si="1154">SUM(ACX6:ACX39)</f>
        <v>6750</v>
      </c>
      <c r="ACY40" s="9">
        <f t="shared" ref="ACY40" si="1155">SUM(ACY6:ACY39)</f>
        <v>6750</v>
      </c>
      <c r="ACZ40" s="9">
        <f t="shared" ref="ACZ40" si="1156">SUM(ACZ6:ACZ39)</f>
        <v>6750</v>
      </c>
      <c r="ADA40" s="9">
        <f t="shared" ref="ADA40" si="1157">SUM(ADA6:ADA39)</f>
        <v>6750</v>
      </c>
      <c r="ADB40" s="9">
        <f t="shared" ref="ADB40" si="1158">SUM(ADB6:ADB39)</f>
        <v>6750</v>
      </c>
      <c r="ADC40" s="9">
        <f t="shared" ref="ADC40" si="1159">SUM(ADC6:ADC39)</f>
        <v>6750</v>
      </c>
      <c r="ADD40" s="9">
        <f t="shared" ref="ADD40" si="1160">SUM(ADD6:ADD39)</f>
        <v>6750</v>
      </c>
      <c r="ADE40" s="9">
        <f t="shared" ref="ADE40" si="1161">SUM(ADE6:ADE39)</f>
        <v>6750</v>
      </c>
      <c r="ADF40" s="9">
        <f t="shared" ref="ADF40" si="1162">SUM(ADF6:ADF39)</f>
        <v>6750</v>
      </c>
      <c r="ADG40" s="9">
        <f t="shared" ref="ADG40" si="1163">SUM(ADG6:ADG39)</f>
        <v>6750</v>
      </c>
      <c r="ADH40" s="9">
        <f t="shared" ref="ADH40" si="1164">SUM(ADH6:ADH39)</f>
        <v>6750</v>
      </c>
      <c r="ADI40" s="25">
        <f t="shared" si="796"/>
        <v>81000</v>
      </c>
      <c r="ADJ40" s="9">
        <f>SUM(ADJ6:ADJ39)</f>
        <v>6502</v>
      </c>
      <c r="ADK40" s="9">
        <f t="shared" ref="ADK40" si="1165">SUM(ADK6:ADK39)</f>
        <v>6502</v>
      </c>
      <c r="ADL40" s="9">
        <f t="shared" ref="ADL40" si="1166">SUM(ADL6:ADL39)</f>
        <v>6502</v>
      </c>
      <c r="ADM40" s="9">
        <f t="shared" ref="ADM40" si="1167">SUM(ADM6:ADM39)</f>
        <v>6502</v>
      </c>
      <c r="ADN40" s="9">
        <f t="shared" ref="ADN40" si="1168">SUM(ADN6:ADN39)</f>
        <v>6502</v>
      </c>
      <c r="ADO40" s="9">
        <f t="shared" ref="ADO40" si="1169">SUM(ADO6:ADO39)</f>
        <v>6502</v>
      </c>
      <c r="ADP40" s="9">
        <f t="shared" ref="ADP40" si="1170">SUM(ADP6:ADP39)</f>
        <v>8784</v>
      </c>
      <c r="ADQ40" s="9">
        <f t="shared" ref="ADQ40" si="1171">SUM(ADQ6:ADQ39)</f>
        <v>6828</v>
      </c>
      <c r="ADR40" s="9">
        <f t="shared" ref="ADR40" si="1172">SUM(ADR6:ADR39)</f>
        <v>6828</v>
      </c>
      <c r="ADS40" s="9">
        <f t="shared" ref="ADS40" si="1173">SUM(ADS6:ADS39)</f>
        <v>6828</v>
      </c>
      <c r="ADT40" s="9">
        <f t="shared" ref="ADT40" si="1174">SUM(ADT6:ADT39)</f>
        <v>6828</v>
      </c>
      <c r="ADU40" s="9">
        <f t="shared" ref="ADU40" si="1175">SUM(ADU6:ADU39)</f>
        <v>6828</v>
      </c>
      <c r="ADV40" s="25">
        <f t="shared" si="797"/>
        <v>81936</v>
      </c>
      <c r="ADW40" s="25">
        <f t="shared" si="798"/>
        <v>2894256</v>
      </c>
      <c r="ADX40" s="9">
        <f>SUM(ADX6:ADX39)</f>
        <v>43940</v>
      </c>
      <c r="ADY40" s="9">
        <f t="shared" ref="ADY40" si="1176">SUM(ADY6:ADY39)</f>
        <v>43940</v>
      </c>
      <c r="ADZ40" s="9">
        <f t="shared" ref="ADZ40" si="1177">SUM(ADZ6:ADZ39)</f>
        <v>43940</v>
      </c>
      <c r="AEA40" s="9">
        <f t="shared" ref="AEA40" si="1178">SUM(AEA6:AEA39)</f>
        <v>43940</v>
      </c>
      <c r="AEB40" s="9">
        <f t="shared" ref="AEB40" si="1179">SUM(AEB6:AEB39)</f>
        <v>43940</v>
      </c>
      <c r="AEC40" s="9">
        <f t="shared" ref="AEC40" si="1180">SUM(AEC6:AEC39)</f>
        <v>43940</v>
      </c>
      <c r="AED40" s="9">
        <f t="shared" ref="AED40" si="1181">SUM(AED6:AED39)</f>
        <v>59200</v>
      </c>
      <c r="AEE40" s="9">
        <f t="shared" ref="AEE40" si="1182">SUM(AEE6:AEE39)</f>
        <v>46120</v>
      </c>
      <c r="AEF40" s="9">
        <f t="shared" ref="AEF40" si="1183">SUM(AEF6:AEF39)</f>
        <v>46120</v>
      </c>
      <c r="AEG40" s="9">
        <f t="shared" ref="AEG40" si="1184">SUM(AEG6:AEG39)</f>
        <v>46120</v>
      </c>
      <c r="AEH40" s="9">
        <f t="shared" ref="AEH40" si="1185">SUM(AEH6:AEH39)</f>
        <v>46120</v>
      </c>
      <c r="AEI40" s="9">
        <f t="shared" ref="AEI40" si="1186">SUM(AEI6:AEI39)</f>
        <v>46120</v>
      </c>
      <c r="AEJ40" s="25">
        <f t="shared" si="799"/>
        <v>553440</v>
      </c>
      <c r="AEK40" s="9">
        <f>SUM(AEK6:AEK39)</f>
        <v>1500</v>
      </c>
      <c r="AEL40" s="9">
        <f t="shared" ref="AEL40" si="1187">SUM(AEL6:AEL39)</f>
        <v>1500</v>
      </c>
      <c r="AEM40" s="9">
        <f t="shared" ref="AEM40" si="1188">SUM(AEM6:AEM39)</f>
        <v>1500</v>
      </c>
      <c r="AEN40" s="9">
        <f t="shared" ref="AEN40" si="1189">SUM(AEN6:AEN39)</f>
        <v>1500</v>
      </c>
      <c r="AEO40" s="9">
        <f t="shared" ref="AEO40" si="1190">SUM(AEO6:AEO39)</f>
        <v>1500</v>
      </c>
      <c r="AEP40" s="9">
        <f t="shared" ref="AEP40" si="1191">SUM(AEP6:AEP39)</f>
        <v>1500</v>
      </c>
      <c r="AEQ40" s="9">
        <f t="shared" ref="AEQ40" si="1192">SUM(AEQ6:AEQ39)</f>
        <v>1500</v>
      </c>
      <c r="AER40" s="9">
        <f t="shared" ref="AER40" si="1193">SUM(AER6:AER39)</f>
        <v>1500</v>
      </c>
      <c r="AES40" s="9">
        <f t="shared" ref="AES40" si="1194">SUM(AES6:AES39)</f>
        <v>1500</v>
      </c>
      <c r="AET40" s="9">
        <f t="shared" ref="AET40" si="1195">SUM(AET6:AET39)</f>
        <v>1500</v>
      </c>
      <c r="AEU40" s="9">
        <f t="shared" ref="AEU40" si="1196">SUM(AEU6:AEU39)</f>
        <v>1500</v>
      </c>
      <c r="AEV40" s="9">
        <f t="shared" ref="AEV40" si="1197">SUM(AEV6:AEV39)</f>
        <v>1500</v>
      </c>
      <c r="AEW40" s="25">
        <f t="shared" si="800"/>
        <v>18000</v>
      </c>
      <c r="AEX40" s="9">
        <f>SUM(AEX6:AEX39)</f>
        <v>1318</v>
      </c>
      <c r="AEY40" s="9">
        <f t="shared" ref="AEY40" si="1198">SUM(AEY6:AEY39)</f>
        <v>1318</v>
      </c>
      <c r="AEZ40" s="9">
        <f t="shared" ref="AEZ40" si="1199">SUM(AEZ6:AEZ39)</f>
        <v>1318</v>
      </c>
      <c r="AFA40" s="9">
        <f t="shared" ref="AFA40" si="1200">SUM(AFA6:AFA39)</f>
        <v>1318</v>
      </c>
      <c r="AFB40" s="9">
        <f t="shared" ref="AFB40" si="1201">SUM(AFB6:AFB39)</f>
        <v>1318</v>
      </c>
      <c r="AFC40" s="9">
        <f t="shared" ref="AFC40" si="1202">SUM(AFC6:AFC39)</f>
        <v>1318</v>
      </c>
      <c r="AFD40" s="9">
        <f t="shared" ref="AFD40" si="1203">SUM(AFD6:AFD39)</f>
        <v>1774</v>
      </c>
      <c r="AFE40" s="9">
        <f t="shared" ref="AFE40" si="1204">SUM(AFE6:AFE39)</f>
        <v>1384</v>
      </c>
      <c r="AFF40" s="9">
        <f t="shared" ref="AFF40" si="1205">SUM(AFF6:AFF39)</f>
        <v>1384</v>
      </c>
      <c r="AFG40" s="9">
        <f t="shared" ref="AFG40" si="1206">SUM(AFG6:AFG39)</f>
        <v>1384</v>
      </c>
      <c r="AFH40" s="9">
        <f t="shared" ref="AFH40" si="1207">SUM(AFH6:AFH39)</f>
        <v>1384</v>
      </c>
      <c r="AFI40" s="9">
        <f t="shared" ref="AFI40" si="1208">SUM(AFI6:AFI39)</f>
        <v>1384</v>
      </c>
      <c r="AFJ40" s="25">
        <f t="shared" si="801"/>
        <v>16602</v>
      </c>
      <c r="AFK40" s="25">
        <f t="shared" si="802"/>
        <v>588042</v>
      </c>
      <c r="AFL40" s="9">
        <f>SUM(AFL6:AFL39)</f>
        <v>264250</v>
      </c>
      <c r="AFM40" s="9">
        <f t="shared" ref="AFM40" si="1209">SUM(AFM6:AFM39)</f>
        <v>264250</v>
      </c>
      <c r="AFN40" s="9">
        <f t="shared" ref="AFN40" si="1210">SUM(AFN6:AFN39)</f>
        <v>264250</v>
      </c>
      <c r="AFO40" s="9">
        <f t="shared" ref="AFO40" si="1211">SUM(AFO6:AFO39)</f>
        <v>264250</v>
      </c>
      <c r="AFP40" s="9">
        <f t="shared" ref="AFP40" si="1212">SUM(AFP6:AFP39)</f>
        <v>264250</v>
      </c>
      <c r="AFQ40" s="9">
        <f t="shared" ref="AFQ40" si="1213">SUM(AFQ6:AFQ39)</f>
        <v>264250</v>
      </c>
      <c r="AFR40" s="9">
        <f t="shared" ref="AFR40" si="1214">SUM(AFR6:AFR39)</f>
        <v>356790</v>
      </c>
      <c r="AFS40" s="9">
        <f t="shared" ref="AFS40" si="1215">SUM(AFS6:AFS39)</f>
        <v>277470</v>
      </c>
      <c r="AFT40" s="9">
        <f t="shared" ref="AFT40" si="1216">SUM(AFT6:AFT39)</f>
        <v>277470</v>
      </c>
      <c r="AFU40" s="9">
        <f t="shared" ref="AFU40" si="1217">SUM(AFU6:AFU39)</f>
        <v>277470</v>
      </c>
      <c r="AFV40" s="9">
        <f t="shared" ref="AFV40" si="1218">SUM(AFV6:AFV39)</f>
        <v>277470</v>
      </c>
      <c r="AFW40" s="9">
        <f t="shared" ref="AFW40" si="1219">SUM(AFW6:AFW39)</f>
        <v>277470</v>
      </c>
      <c r="AFX40" s="25">
        <f t="shared" si="803"/>
        <v>3329640</v>
      </c>
      <c r="AFY40" s="9">
        <f>SUM(AFY6:AFY39)</f>
        <v>8250</v>
      </c>
      <c r="AFZ40" s="9">
        <f t="shared" ref="AFZ40" si="1220">SUM(AFZ6:AFZ39)</f>
        <v>8250</v>
      </c>
      <c r="AGA40" s="9">
        <f t="shared" ref="AGA40" si="1221">SUM(AGA6:AGA39)</f>
        <v>8250</v>
      </c>
      <c r="AGB40" s="9">
        <f t="shared" ref="AGB40" si="1222">SUM(AGB6:AGB39)</f>
        <v>8250</v>
      </c>
      <c r="AGC40" s="9">
        <f t="shared" ref="AGC40" si="1223">SUM(AGC6:AGC39)</f>
        <v>8250</v>
      </c>
      <c r="AGD40" s="9">
        <f t="shared" ref="AGD40" si="1224">SUM(AGD6:AGD39)</f>
        <v>8250</v>
      </c>
      <c r="AGE40" s="9">
        <f t="shared" ref="AGE40" si="1225">SUM(AGE6:AGE39)</f>
        <v>9028.18</v>
      </c>
      <c r="AGF40" s="9">
        <f t="shared" ref="AGF40" si="1226">SUM(AGF6:AGF39)</f>
        <v>8250</v>
      </c>
      <c r="AGG40" s="9">
        <f t="shared" ref="AGG40" si="1227">SUM(AGG6:AGG39)</f>
        <v>8250</v>
      </c>
      <c r="AGH40" s="9">
        <f t="shared" ref="AGH40" si="1228">SUM(AGH6:AGH39)</f>
        <v>8250</v>
      </c>
      <c r="AGI40" s="9">
        <f t="shared" ref="AGI40" si="1229">SUM(AGI6:AGI39)</f>
        <v>8250</v>
      </c>
      <c r="AGJ40" s="9">
        <f t="shared" ref="AGJ40" si="1230">SUM(AGJ6:AGJ39)</f>
        <v>8587.3700000000008</v>
      </c>
      <c r="AGK40" s="25">
        <f t="shared" si="804"/>
        <v>100115.54999999999</v>
      </c>
      <c r="AGL40" s="9">
        <f>SUM(AGL6:AGL39)</f>
        <v>5771</v>
      </c>
      <c r="AGM40" s="9">
        <f t="shared" ref="AGM40" si="1231">SUM(AGM6:AGM39)</f>
        <v>6489</v>
      </c>
      <c r="AGN40" s="9">
        <f t="shared" ref="AGN40" si="1232">SUM(AGN6:AGN39)</f>
        <v>6489</v>
      </c>
      <c r="AGO40" s="9">
        <f t="shared" ref="AGO40" si="1233">SUM(AGO6:AGO39)</f>
        <v>6489</v>
      </c>
      <c r="AGP40" s="9">
        <f t="shared" ref="AGP40" si="1234">SUM(AGP6:AGP39)</f>
        <v>6489</v>
      </c>
      <c r="AGQ40" s="9">
        <f t="shared" ref="AGQ40" si="1235">SUM(AGQ6:AGQ39)</f>
        <v>6489</v>
      </c>
      <c r="AGR40" s="9">
        <f t="shared" ref="AGR40" si="1236">SUM(AGR6:AGR39)</f>
        <v>8735</v>
      </c>
      <c r="AGS40" s="9">
        <f t="shared" ref="AGS40" si="1237">SUM(AGS6:AGS39)</f>
        <v>6815</v>
      </c>
      <c r="AGT40" s="9">
        <f t="shared" ref="AGT40" si="1238">SUM(AGT6:AGT39)</f>
        <v>6815</v>
      </c>
      <c r="AGU40" s="9">
        <f t="shared" ref="AGU40" si="1239">SUM(AGU6:AGU39)</f>
        <v>6815</v>
      </c>
      <c r="AGV40" s="9">
        <f t="shared" ref="AGV40" si="1240">SUM(AGV6:AGV39)</f>
        <v>6815</v>
      </c>
      <c r="AGW40" s="9">
        <f t="shared" ref="AGW40" si="1241">SUM(AGW6:AGW39)</f>
        <v>6815</v>
      </c>
      <c r="AGX40" s="25">
        <f t="shared" si="805"/>
        <v>81026</v>
      </c>
      <c r="AGY40" s="25">
        <f t="shared" si="806"/>
        <v>3510781.55</v>
      </c>
      <c r="AGZ40" s="9">
        <f>SUM(AGZ6:AGZ39)</f>
        <v>0</v>
      </c>
      <c r="AHA40" s="9">
        <f t="shared" ref="AHA40" si="1242">SUM(AHA6:AHA39)</f>
        <v>0</v>
      </c>
      <c r="AHB40" s="9">
        <f t="shared" ref="AHB40" si="1243">SUM(AHB6:AHB39)</f>
        <v>0</v>
      </c>
      <c r="AHC40" s="9">
        <f t="shared" ref="AHC40" si="1244">SUM(AHC6:AHC39)</f>
        <v>0</v>
      </c>
      <c r="AHD40" s="9">
        <f t="shared" ref="AHD40" si="1245">SUM(AHD6:AHD39)</f>
        <v>0</v>
      </c>
      <c r="AHE40" s="9">
        <f t="shared" ref="AHE40" si="1246">SUM(AHE6:AHE39)</f>
        <v>0</v>
      </c>
      <c r="AHF40" s="9">
        <f t="shared" ref="AHF40" si="1247">SUM(AHF6:AHF39)</f>
        <v>0</v>
      </c>
      <c r="AHG40" s="9">
        <f t="shared" ref="AHG40" si="1248">SUM(AHG6:AHG39)</f>
        <v>0</v>
      </c>
      <c r="AHH40" s="9">
        <f t="shared" ref="AHH40" si="1249">SUM(AHH6:AHH39)</f>
        <v>0</v>
      </c>
      <c r="AHI40" s="9">
        <f t="shared" ref="AHI40" si="1250">SUM(AHI6:AHI39)</f>
        <v>0</v>
      </c>
      <c r="AHJ40" s="9">
        <f t="shared" ref="AHJ40" si="1251">SUM(AHJ6:AHJ39)</f>
        <v>0</v>
      </c>
      <c r="AHK40" s="9">
        <f t="shared" ref="AHK40" si="1252">SUM(AHK6:AHK39)</f>
        <v>0</v>
      </c>
      <c r="AHL40" s="25">
        <f t="shared" si="807"/>
        <v>0</v>
      </c>
      <c r="AHM40" s="9">
        <f>SUM(AHM6:AHM39)</f>
        <v>0</v>
      </c>
      <c r="AHN40" s="9">
        <f t="shared" ref="AHN40" si="1253">SUM(AHN6:AHN39)</f>
        <v>0</v>
      </c>
      <c r="AHO40" s="9">
        <f t="shared" ref="AHO40" si="1254">SUM(AHO6:AHO39)</f>
        <v>0</v>
      </c>
      <c r="AHP40" s="9">
        <f t="shared" ref="AHP40" si="1255">SUM(AHP6:AHP39)</f>
        <v>0</v>
      </c>
      <c r="AHQ40" s="9">
        <f t="shared" ref="AHQ40" si="1256">SUM(AHQ6:AHQ39)</f>
        <v>0</v>
      </c>
      <c r="AHR40" s="9">
        <f t="shared" ref="AHR40" si="1257">SUM(AHR6:AHR39)</f>
        <v>0</v>
      </c>
      <c r="AHS40" s="9">
        <f t="shared" ref="AHS40" si="1258">SUM(AHS6:AHS39)</f>
        <v>0</v>
      </c>
      <c r="AHT40" s="9">
        <f t="shared" ref="AHT40" si="1259">SUM(AHT6:AHT39)</f>
        <v>0</v>
      </c>
      <c r="AHU40" s="9">
        <f t="shared" ref="AHU40" si="1260">SUM(AHU6:AHU39)</f>
        <v>0</v>
      </c>
      <c r="AHV40" s="9">
        <f t="shared" ref="AHV40" si="1261">SUM(AHV6:AHV39)</f>
        <v>0</v>
      </c>
      <c r="AHW40" s="9">
        <f t="shared" ref="AHW40" si="1262">SUM(AHW6:AHW39)</f>
        <v>0</v>
      </c>
      <c r="AHX40" s="9">
        <f t="shared" ref="AHX40" si="1263">SUM(AHX6:AHX39)</f>
        <v>0</v>
      </c>
      <c r="AHY40" s="25">
        <f t="shared" si="808"/>
        <v>0</v>
      </c>
      <c r="AHZ40" s="9">
        <f>SUM(AHZ6:AHZ39)</f>
        <v>0</v>
      </c>
      <c r="AIA40" s="9">
        <f t="shared" ref="AIA40" si="1264">SUM(AIA6:AIA39)</f>
        <v>0</v>
      </c>
      <c r="AIB40" s="9">
        <f t="shared" ref="AIB40" si="1265">SUM(AIB6:AIB39)</f>
        <v>0</v>
      </c>
      <c r="AIC40" s="9">
        <f t="shared" ref="AIC40" si="1266">SUM(AIC6:AIC39)</f>
        <v>0</v>
      </c>
      <c r="AID40" s="9">
        <f t="shared" ref="AID40" si="1267">SUM(AID6:AID39)</f>
        <v>0</v>
      </c>
      <c r="AIE40" s="9">
        <f t="shared" ref="AIE40" si="1268">SUM(AIE6:AIE39)</f>
        <v>0</v>
      </c>
      <c r="AIF40" s="9">
        <f t="shared" ref="AIF40" si="1269">SUM(AIF6:AIF39)</f>
        <v>0</v>
      </c>
      <c r="AIG40" s="9">
        <f t="shared" ref="AIG40" si="1270">SUM(AIG6:AIG39)</f>
        <v>0</v>
      </c>
      <c r="AIH40" s="9">
        <f t="shared" ref="AIH40" si="1271">SUM(AIH6:AIH39)</f>
        <v>0</v>
      </c>
      <c r="AII40" s="9">
        <f t="shared" ref="AII40" si="1272">SUM(AII6:AII39)</f>
        <v>0</v>
      </c>
      <c r="AIJ40" s="9">
        <f t="shared" ref="AIJ40" si="1273">SUM(AIJ6:AIJ39)</f>
        <v>0</v>
      </c>
      <c r="AIK40" s="9">
        <f t="shared" ref="AIK40" si="1274">SUM(AIK6:AIK39)</f>
        <v>0</v>
      </c>
      <c r="AIL40" s="25">
        <f t="shared" si="809"/>
        <v>0</v>
      </c>
      <c r="AIM40" s="25">
        <f t="shared" si="810"/>
        <v>0</v>
      </c>
      <c r="AIN40" s="9">
        <f>SUM(AIN6:AIN39)</f>
        <v>0</v>
      </c>
      <c r="AIO40" s="9">
        <f t="shared" ref="AIO40" si="1275">SUM(AIO6:AIO39)</f>
        <v>0</v>
      </c>
      <c r="AIP40" s="9">
        <f t="shared" ref="AIP40" si="1276">SUM(AIP6:AIP39)</f>
        <v>0</v>
      </c>
      <c r="AIQ40" s="9">
        <f t="shared" ref="AIQ40" si="1277">SUM(AIQ6:AIQ39)</f>
        <v>0</v>
      </c>
      <c r="AIR40" s="9">
        <f t="shared" ref="AIR40" si="1278">SUM(AIR6:AIR39)</f>
        <v>0</v>
      </c>
      <c r="AIS40" s="9">
        <f t="shared" ref="AIS40" si="1279">SUM(AIS6:AIS39)</f>
        <v>0</v>
      </c>
      <c r="AIT40" s="9">
        <f t="shared" ref="AIT40" si="1280">SUM(AIT6:AIT39)</f>
        <v>0</v>
      </c>
      <c r="AIU40" s="9">
        <f t="shared" ref="AIU40" si="1281">SUM(AIU6:AIU39)</f>
        <v>0</v>
      </c>
      <c r="AIV40" s="9">
        <f t="shared" ref="AIV40" si="1282">SUM(AIV6:AIV39)</f>
        <v>0</v>
      </c>
      <c r="AIW40" s="9">
        <f t="shared" ref="AIW40" si="1283">SUM(AIW6:AIW39)</f>
        <v>0</v>
      </c>
      <c r="AIX40" s="9">
        <f t="shared" ref="AIX40" si="1284">SUM(AIX6:AIX39)</f>
        <v>0</v>
      </c>
      <c r="AIY40" s="9">
        <f t="shared" ref="AIY40" si="1285">SUM(AIY6:AIY39)</f>
        <v>0</v>
      </c>
      <c r="AIZ40" s="25">
        <f t="shared" si="811"/>
        <v>0</v>
      </c>
      <c r="AJA40" s="9">
        <f>SUM(AJA6:AJA39)</f>
        <v>0</v>
      </c>
      <c r="AJB40" s="9">
        <f t="shared" ref="AJB40" si="1286">SUM(AJB6:AJB39)</f>
        <v>0</v>
      </c>
      <c r="AJC40" s="9">
        <f t="shared" ref="AJC40" si="1287">SUM(AJC6:AJC39)</f>
        <v>0</v>
      </c>
      <c r="AJD40" s="9">
        <f t="shared" ref="AJD40" si="1288">SUM(AJD6:AJD39)</f>
        <v>0</v>
      </c>
      <c r="AJE40" s="9">
        <f t="shared" ref="AJE40" si="1289">SUM(AJE6:AJE39)</f>
        <v>0</v>
      </c>
      <c r="AJF40" s="9">
        <f t="shared" ref="AJF40" si="1290">SUM(AJF6:AJF39)</f>
        <v>0</v>
      </c>
      <c r="AJG40" s="9">
        <f t="shared" ref="AJG40" si="1291">SUM(AJG6:AJG39)</f>
        <v>0</v>
      </c>
      <c r="AJH40" s="9">
        <f t="shared" ref="AJH40" si="1292">SUM(AJH6:AJH39)</f>
        <v>0</v>
      </c>
      <c r="AJI40" s="9">
        <f t="shared" ref="AJI40" si="1293">SUM(AJI6:AJI39)</f>
        <v>0</v>
      </c>
      <c r="AJJ40" s="9">
        <f t="shared" ref="AJJ40" si="1294">SUM(AJJ6:AJJ39)</f>
        <v>0</v>
      </c>
      <c r="AJK40" s="9">
        <f t="shared" ref="AJK40" si="1295">SUM(AJK6:AJK39)</f>
        <v>0</v>
      </c>
      <c r="AJL40" s="9">
        <f t="shared" ref="AJL40" si="1296">SUM(AJL6:AJL39)</f>
        <v>0</v>
      </c>
      <c r="AJM40" s="25">
        <f t="shared" si="812"/>
        <v>0</v>
      </c>
      <c r="AJN40" s="9">
        <f>SUM(AJN6:AJN39)</f>
        <v>0</v>
      </c>
      <c r="AJO40" s="9">
        <f t="shared" ref="AJO40" si="1297">SUM(AJO6:AJO39)</f>
        <v>0</v>
      </c>
      <c r="AJP40" s="9">
        <f t="shared" ref="AJP40" si="1298">SUM(AJP6:AJP39)</f>
        <v>0</v>
      </c>
      <c r="AJQ40" s="9">
        <f t="shared" ref="AJQ40" si="1299">SUM(AJQ6:AJQ39)</f>
        <v>0</v>
      </c>
      <c r="AJR40" s="9">
        <f t="shared" ref="AJR40" si="1300">SUM(AJR6:AJR39)</f>
        <v>0</v>
      </c>
      <c r="AJS40" s="9">
        <f t="shared" ref="AJS40" si="1301">SUM(AJS6:AJS39)</f>
        <v>0</v>
      </c>
      <c r="AJT40" s="9">
        <f t="shared" ref="AJT40" si="1302">SUM(AJT6:AJT39)</f>
        <v>0</v>
      </c>
      <c r="AJU40" s="9">
        <f t="shared" ref="AJU40" si="1303">SUM(AJU6:AJU39)</f>
        <v>0</v>
      </c>
      <c r="AJV40" s="9">
        <f t="shared" ref="AJV40" si="1304">SUM(AJV6:AJV39)</f>
        <v>0</v>
      </c>
      <c r="AJW40" s="9">
        <f t="shared" ref="AJW40" si="1305">SUM(AJW6:AJW39)</f>
        <v>0</v>
      </c>
      <c r="AJX40" s="9">
        <f t="shared" ref="AJX40" si="1306">SUM(AJX6:AJX39)</f>
        <v>0</v>
      </c>
      <c r="AJY40" s="9">
        <f t="shared" ref="AJY40" si="1307">SUM(AJY6:AJY39)</f>
        <v>0</v>
      </c>
      <c r="AJZ40" s="25">
        <f t="shared" si="813"/>
        <v>0</v>
      </c>
      <c r="AKA40" s="25">
        <f t="shared" si="814"/>
        <v>0</v>
      </c>
      <c r="AKB40" s="26">
        <f>+AQ40+CE40+DS40+FG40+GU40+II40+JW40+LK40+MY40+OM40+QA40+RO40+TC40+UQ40+WE40+XS40+ZG40+AAU40+ACI40+ADW40+AFK40+AGY40+AIM40+AKA40</f>
        <v>48236969.960000001</v>
      </c>
      <c r="AKC40" s="85">
        <f>SUM(AKC6:AKC39)</f>
        <v>48236969.960000008</v>
      </c>
    </row>
    <row r="41" spans="1:965" ht="21.75" thickTop="1" x14ac:dyDescent="0.35"/>
    <row r="42" spans="1:965" hidden="1" x14ac:dyDescent="0.35">
      <c r="A42" s="1" t="s">
        <v>301</v>
      </c>
      <c r="IJ42" s="69">
        <f>+IJ40-IJ43</f>
        <v>249860</v>
      </c>
      <c r="IW42" s="69">
        <f>+IW40-IW43</f>
        <v>8250</v>
      </c>
      <c r="JJ42" s="69">
        <f>+JJ40-JJ43</f>
        <v>5043</v>
      </c>
    </row>
    <row r="43" spans="1:965" hidden="1" x14ac:dyDescent="0.35">
      <c r="A43" s="71" t="s">
        <v>297</v>
      </c>
      <c r="J43" s="1">
        <v>6000</v>
      </c>
      <c r="AX43" s="1">
        <v>36180</v>
      </c>
      <c r="BX43" s="1">
        <v>864</v>
      </c>
      <c r="CL43" s="1">
        <v>32340</v>
      </c>
      <c r="DL43" s="1">
        <v>594</v>
      </c>
      <c r="DZ43" s="1">
        <v>20580</v>
      </c>
      <c r="EZ43" s="1">
        <v>618</v>
      </c>
      <c r="FJ43" s="1">
        <v>9100</v>
      </c>
      <c r="FN43" s="1">
        <v>133490</v>
      </c>
      <c r="FO43" s="1">
        <v>9100</v>
      </c>
      <c r="FW43" s="1">
        <v>455</v>
      </c>
      <c r="GB43" s="1">
        <v>350</v>
      </c>
      <c r="GN43" s="1">
        <v>2976</v>
      </c>
      <c r="HB43" s="1">
        <v>93480</v>
      </c>
      <c r="IB43" s="1">
        <v>2592</v>
      </c>
      <c r="IJ43" s="1">
        <v>19500</v>
      </c>
      <c r="IP43" s="1">
        <v>73980</v>
      </c>
      <c r="IS43" s="1">
        <v>20475</v>
      </c>
      <c r="IW43" s="1">
        <v>750</v>
      </c>
      <c r="JF43" s="1">
        <v>667</v>
      </c>
      <c r="JJ43" s="1">
        <v>0</v>
      </c>
      <c r="JP43" s="1">
        <v>1518</v>
      </c>
      <c r="KD43" s="1">
        <v>13140</v>
      </c>
      <c r="LD43" s="1">
        <v>222</v>
      </c>
      <c r="LR43" s="1">
        <v>33850.639999999999</v>
      </c>
      <c r="ME43" s="1">
        <v>32</v>
      </c>
      <c r="MR43" s="1">
        <v>1017</v>
      </c>
      <c r="NB43" s="1">
        <v>19500</v>
      </c>
      <c r="NF43" s="1">
        <v>76080</v>
      </c>
      <c r="NO43" s="1">
        <v>750</v>
      </c>
      <c r="OF43" s="1">
        <v>834</v>
      </c>
      <c r="OS43" s="1">
        <v>19500</v>
      </c>
      <c r="OT43" s="1">
        <v>43020</v>
      </c>
      <c r="PF43" s="1">
        <v>750</v>
      </c>
      <c r="PT43" s="1">
        <v>858</v>
      </c>
      <c r="QH43" s="1">
        <f>93300+6360</f>
        <v>99660</v>
      </c>
      <c r="RH43" s="1">
        <v>2622</v>
      </c>
      <c r="RV43" s="1">
        <v>27840</v>
      </c>
      <c r="SV43" s="1">
        <v>654</v>
      </c>
      <c r="TJ43" s="1">
        <v>86940</v>
      </c>
      <c r="UJ43" s="1">
        <v>1836</v>
      </c>
      <c r="UX43" s="1">
        <v>19620</v>
      </c>
      <c r="VX43" s="1">
        <v>588</v>
      </c>
      <c r="WL43" s="1">
        <v>13920</v>
      </c>
      <c r="XL43" s="1">
        <v>204</v>
      </c>
      <c r="XZ43" s="1">
        <v>21420</v>
      </c>
      <c r="YZ43" s="1">
        <v>642</v>
      </c>
      <c r="ZN43" s="1">
        <f>10910+22750</f>
        <v>33660</v>
      </c>
      <c r="AAA43" s="1">
        <v>750</v>
      </c>
      <c r="AAN43" s="1">
        <v>329</v>
      </c>
      <c r="ABB43" s="1">
        <v>16710</v>
      </c>
      <c r="ACB43" s="1">
        <v>420</v>
      </c>
      <c r="ACP43" s="1">
        <v>65280</v>
      </c>
      <c r="ADP43" s="1">
        <v>1956</v>
      </c>
      <c r="AED43" s="1">
        <v>13080</v>
      </c>
      <c r="AFD43" s="1">
        <v>390</v>
      </c>
      <c r="AFR43" s="1">
        <v>79320</v>
      </c>
      <c r="AGR43" s="1">
        <v>1920</v>
      </c>
    </row>
    <row r="44" spans="1:965" hidden="1" x14ac:dyDescent="0.35">
      <c r="A44" s="1" t="s">
        <v>302</v>
      </c>
    </row>
    <row r="45" spans="1:965" hidden="1" x14ac:dyDescent="0.35">
      <c r="A45" s="1" t="s">
        <v>298</v>
      </c>
    </row>
    <row r="46" spans="1:965" hidden="1" x14ac:dyDescent="0.35">
      <c r="A46" s="1" t="s">
        <v>364</v>
      </c>
      <c r="S46" s="1">
        <f>10800+157300</f>
        <v>168100</v>
      </c>
      <c r="U46" s="1">
        <v>1782.77</v>
      </c>
      <c r="AGE46" s="1">
        <v>778.18</v>
      </c>
      <c r="AGJ46" s="1">
        <v>337.37</v>
      </c>
    </row>
    <row r="47" spans="1:965" hidden="1" x14ac:dyDescent="0.35">
      <c r="A47" s="1" t="s">
        <v>365</v>
      </c>
      <c r="AF47" s="1">
        <v>6687.5</v>
      </c>
      <c r="AK47" s="1">
        <v>6698.2</v>
      </c>
      <c r="AL47" s="1">
        <v>6815.9</v>
      </c>
      <c r="AO47" s="1">
        <v>6789.15</v>
      </c>
    </row>
    <row r="48" spans="1:965" hidden="1" x14ac:dyDescent="0.35">
      <c r="A48" s="53" t="s">
        <v>115</v>
      </c>
    </row>
    <row r="49" hidden="1" x14ac:dyDescent="0.35"/>
    <row r="50" hidden="1" x14ac:dyDescent="0.35"/>
  </sheetData>
  <mergeCells count="122">
    <mergeCell ref="AIN3:AKA3"/>
    <mergeCell ref="AIN4:AIZ4"/>
    <mergeCell ref="AJA4:AJM4"/>
    <mergeCell ref="AJN4:AJZ4"/>
    <mergeCell ref="AFL3:AGY3"/>
    <mergeCell ref="AFL4:AFX4"/>
    <mergeCell ref="AFY4:AGK4"/>
    <mergeCell ref="AGL4:AGX4"/>
    <mergeCell ref="AGZ3:AIM3"/>
    <mergeCell ref="AGZ4:AHL4"/>
    <mergeCell ref="AHM4:AHY4"/>
    <mergeCell ref="AHZ4:AIL4"/>
    <mergeCell ref="AGY4:AGY5"/>
    <mergeCell ref="ACJ3:ADW3"/>
    <mergeCell ref="ACJ4:ACV4"/>
    <mergeCell ref="ACW4:ADI4"/>
    <mergeCell ref="ADJ4:ADV4"/>
    <mergeCell ref="ADX3:AFK3"/>
    <mergeCell ref="ADX4:AEJ4"/>
    <mergeCell ref="AEK4:AEW4"/>
    <mergeCell ref="AEX4:AFJ4"/>
    <mergeCell ref="ADW4:ADW5"/>
    <mergeCell ref="AFK4:AFK5"/>
    <mergeCell ref="ZH3:AAU3"/>
    <mergeCell ref="ZH4:ZT4"/>
    <mergeCell ref="ZU4:AAG4"/>
    <mergeCell ref="AAH4:AAT4"/>
    <mergeCell ref="AAV3:ACI3"/>
    <mergeCell ref="AAV4:ABH4"/>
    <mergeCell ref="ABI4:ABU4"/>
    <mergeCell ref="ABV4:ACH4"/>
    <mergeCell ref="AAU4:AAU5"/>
    <mergeCell ref="ACI4:ACI5"/>
    <mergeCell ref="WF3:XS3"/>
    <mergeCell ref="WF4:WR4"/>
    <mergeCell ref="WS4:XE4"/>
    <mergeCell ref="XF4:XR4"/>
    <mergeCell ref="XT3:ZG3"/>
    <mergeCell ref="XT4:YF4"/>
    <mergeCell ref="YG4:YS4"/>
    <mergeCell ref="YT4:ZF4"/>
    <mergeCell ref="XS4:XS5"/>
    <mergeCell ref="ZG4:ZG5"/>
    <mergeCell ref="TD3:UQ3"/>
    <mergeCell ref="TD4:TP4"/>
    <mergeCell ref="TQ4:UC4"/>
    <mergeCell ref="UD4:UP4"/>
    <mergeCell ref="UR3:WE3"/>
    <mergeCell ref="UR4:VD4"/>
    <mergeCell ref="VE4:VQ4"/>
    <mergeCell ref="VR4:WD4"/>
    <mergeCell ref="UQ4:UQ5"/>
    <mergeCell ref="WE4:WE5"/>
    <mergeCell ref="QB3:RO3"/>
    <mergeCell ref="QB4:QN4"/>
    <mergeCell ref="QO4:RA4"/>
    <mergeCell ref="RB4:RN4"/>
    <mergeCell ref="RP3:TC3"/>
    <mergeCell ref="RP4:SB4"/>
    <mergeCell ref="SC4:SO4"/>
    <mergeCell ref="SP4:TB4"/>
    <mergeCell ref="RO4:RO5"/>
    <mergeCell ref="TC4:TC5"/>
    <mergeCell ref="LY4:MK4"/>
    <mergeCell ref="MZ4:NL4"/>
    <mergeCell ref="ML4:MX4"/>
    <mergeCell ref="LK4:LK5"/>
    <mergeCell ref="MY4:MY5"/>
    <mergeCell ref="NM4:NY4"/>
    <mergeCell ref="NZ4:OL4"/>
    <mergeCell ref="ON3:QA3"/>
    <mergeCell ref="ON4:OZ4"/>
    <mergeCell ref="PA4:PM4"/>
    <mergeCell ref="PN4:PZ4"/>
    <mergeCell ref="MZ3:OM3"/>
    <mergeCell ref="OM4:OM5"/>
    <mergeCell ref="QA4:QA5"/>
    <mergeCell ref="IJ4:IV4"/>
    <mergeCell ref="IW4:JI4"/>
    <mergeCell ref="JJ4:JV4"/>
    <mergeCell ref="JX4:KJ4"/>
    <mergeCell ref="II4:II5"/>
    <mergeCell ref="JW4:JW5"/>
    <mergeCell ref="KK4:KW4"/>
    <mergeCell ref="KX4:LJ4"/>
    <mergeCell ref="LL4:LX4"/>
    <mergeCell ref="A1:F1"/>
    <mergeCell ref="A3:A4"/>
    <mergeCell ref="B3:B4"/>
    <mergeCell ref="D3:AQ3"/>
    <mergeCell ref="AR3:CE3"/>
    <mergeCell ref="AQ4:AQ5"/>
    <mergeCell ref="CE4:CE5"/>
    <mergeCell ref="AKB3:AKB4"/>
    <mergeCell ref="D4:P4"/>
    <mergeCell ref="Q4:AC4"/>
    <mergeCell ref="AD4:AP4"/>
    <mergeCell ref="AR4:BD4"/>
    <mergeCell ref="BE4:BQ4"/>
    <mergeCell ref="BR4:CD4"/>
    <mergeCell ref="CF4:CR4"/>
    <mergeCell ref="CS4:DE4"/>
    <mergeCell ref="DT3:FG3"/>
    <mergeCell ref="FH3:GU3"/>
    <mergeCell ref="GV3:II3"/>
    <mergeCell ref="IJ3:JW3"/>
    <mergeCell ref="JX3:LK3"/>
    <mergeCell ref="DT4:EF4"/>
    <mergeCell ref="LL3:MY3"/>
    <mergeCell ref="HV4:IH4"/>
    <mergeCell ref="GV4:HH4"/>
    <mergeCell ref="HI4:HU4"/>
    <mergeCell ref="CF3:DS3"/>
    <mergeCell ref="DF4:DR4"/>
    <mergeCell ref="GH4:GT4"/>
    <mergeCell ref="EG4:ES4"/>
    <mergeCell ref="ET4:FF4"/>
    <mergeCell ref="FH4:FT4"/>
    <mergeCell ref="FU4:GG4"/>
    <mergeCell ref="DS4:DS5"/>
    <mergeCell ref="FG4:FG5"/>
    <mergeCell ref="GU4:GU5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47"/>
  <sheetViews>
    <sheetView showGridLines="0" zoomScale="70" zoomScaleNormal="70" workbookViewId="0">
      <pane xSplit="3" ySplit="6" topLeftCell="D33" activePane="bottomRight" state="frozen"/>
      <selection pane="topRight" activeCell="D1" sqref="D1"/>
      <selection pane="bottomLeft" activeCell="A7" sqref="A7"/>
      <selection pane="bottomRight" activeCell="A42" sqref="A42:XFD47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5" width="13.875" style="1" hidden="1" customWidth="1"/>
    <col min="16" max="16" width="14.125" style="1" bestFit="1" customWidth="1"/>
    <col min="17" max="28" width="12.375" style="1" hidden="1" customWidth="1"/>
    <col min="29" max="29" width="12.375" style="1" bestFit="1" customWidth="1"/>
    <col min="30" max="41" width="11.125" style="1" hidden="1" customWidth="1"/>
    <col min="42" max="42" width="11.25" style="1" bestFit="1" customWidth="1"/>
    <col min="43" max="44" width="14.125" style="1" bestFit="1" customWidth="1"/>
    <col min="45" max="16384" width="9" style="1"/>
  </cols>
  <sheetData>
    <row r="1" spans="1:44" x14ac:dyDescent="0.35">
      <c r="A1" s="97" t="s">
        <v>234</v>
      </c>
      <c r="B1" s="98"/>
      <c r="C1" s="98"/>
      <c r="D1" s="98"/>
      <c r="E1" s="98"/>
      <c r="F1" s="98"/>
    </row>
    <row r="2" spans="1:44" s="12" customFormat="1" x14ac:dyDescent="0.35">
      <c r="A2" s="32"/>
      <c r="B2" s="32"/>
      <c r="C2" s="32"/>
      <c r="D2" s="32"/>
      <c r="E2" s="32"/>
      <c r="F2" s="32"/>
    </row>
    <row r="3" spans="1:44" s="2" customFormat="1" x14ac:dyDescent="0.35">
      <c r="A3" s="92" t="s">
        <v>0</v>
      </c>
      <c r="B3" s="92" t="s">
        <v>14</v>
      </c>
      <c r="C3" s="30"/>
      <c r="D3" s="89" t="s">
        <v>56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92" t="s">
        <v>16</v>
      </c>
    </row>
    <row r="4" spans="1:44" s="2" customFormat="1" x14ac:dyDescent="0.35">
      <c r="A4" s="93"/>
      <c r="B4" s="93"/>
      <c r="C4" s="3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93"/>
    </row>
    <row r="5" spans="1:44" s="2" customFormat="1" x14ac:dyDescent="0.35">
      <c r="A5" s="31"/>
      <c r="B5" s="31"/>
      <c r="C5" s="3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24"/>
    </row>
    <row r="6" spans="1:44" hidden="1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13">
        <f>+AQ6</f>
        <v>0</v>
      </c>
    </row>
    <row r="7" spans="1:44" hidden="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2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3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4">SUM(AD7:AO7)</f>
        <v>0</v>
      </c>
      <c r="AQ7" s="4">
        <f t="shared" ref="AQ7:AQ40" si="5">+P7+AC7+AP7</f>
        <v>0</v>
      </c>
      <c r="AR7" s="13">
        <f t="shared" ref="AR7:AR39" si="6">+AQ7</f>
        <v>0</v>
      </c>
    </row>
    <row r="8" spans="1:44" hidden="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2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3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4"/>
        <v>0</v>
      </c>
      <c r="AQ8" s="4">
        <f t="shared" si="5"/>
        <v>0</v>
      </c>
      <c r="AR8" s="13">
        <f t="shared" si="6"/>
        <v>0</v>
      </c>
    </row>
    <row r="9" spans="1:44" hidden="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2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3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4"/>
        <v>0</v>
      </c>
      <c r="AQ9" s="4">
        <f t="shared" si="5"/>
        <v>0</v>
      </c>
      <c r="AR9" s="13">
        <f t="shared" si="6"/>
        <v>0</v>
      </c>
    </row>
    <row r="10" spans="1:44" hidden="1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2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3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4"/>
        <v>0</v>
      </c>
      <c r="AQ10" s="4">
        <f t="shared" si="5"/>
        <v>0</v>
      </c>
      <c r="AR10" s="13">
        <f t="shared" si="6"/>
        <v>0</v>
      </c>
    </row>
    <row r="11" spans="1:44" hidden="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2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3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4"/>
        <v>0</v>
      </c>
      <c r="AQ11" s="4">
        <f t="shared" si="5"/>
        <v>0</v>
      </c>
      <c r="AR11" s="13">
        <f t="shared" si="6"/>
        <v>0</v>
      </c>
    </row>
    <row r="12" spans="1:44" hidden="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2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3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4"/>
        <v>0</v>
      </c>
      <c r="AQ12" s="4">
        <f t="shared" si="5"/>
        <v>0</v>
      </c>
      <c r="AR12" s="13">
        <f t="shared" si="6"/>
        <v>0</v>
      </c>
    </row>
    <row r="13" spans="1:44" hidden="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2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3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4"/>
        <v>0</v>
      </c>
      <c r="AQ13" s="4">
        <f t="shared" si="5"/>
        <v>0</v>
      </c>
      <c r="AR13" s="13">
        <f t="shared" si="6"/>
        <v>0</v>
      </c>
    </row>
    <row r="14" spans="1:44" hidden="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2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3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4"/>
        <v>0</v>
      </c>
      <c r="AQ14" s="4">
        <f t="shared" si="5"/>
        <v>0</v>
      </c>
      <c r="AR14" s="13">
        <f t="shared" si="6"/>
        <v>0</v>
      </c>
    </row>
    <row r="15" spans="1:44" hidden="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2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3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4"/>
        <v>0</v>
      </c>
      <c r="AQ15" s="4">
        <f t="shared" si="5"/>
        <v>0</v>
      </c>
      <c r="AR15" s="13">
        <f t="shared" si="6"/>
        <v>0</v>
      </c>
    </row>
    <row r="16" spans="1:44" hidden="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2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3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4"/>
        <v>0</v>
      </c>
      <c r="AQ16" s="4">
        <f t="shared" si="5"/>
        <v>0</v>
      </c>
      <c r="AR16" s="13">
        <f t="shared" si="6"/>
        <v>0</v>
      </c>
    </row>
    <row r="17" spans="1:44" hidden="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2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3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4"/>
        <v>0</v>
      </c>
      <c r="AQ17" s="4">
        <f t="shared" si="5"/>
        <v>0</v>
      </c>
      <c r="AR17" s="13">
        <f t="shared" si="6"/>
        <v>0</v>
      </c>
    </row>
    <row r="18" spans="1:44" hidden="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2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3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4"/>
        <v>0</v>
      </c>
      <c r="AQ18" s="4">
        <f t="shared" si="5"/>
        <v>0</v>
      </c>
      <c r="AR18" s="13">
        <f t="shared" si="6"/>
        <v>0</v>
      </c>
    </row>
    <row r="19" spans="1:44" hidden="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2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3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4"/>
        <v>0</v>
      </c>
      <c r="AQ19" s="4">
        <f t="shared" si="5"/>
        <v>0</v>
      </c>
      <c r="AR19" s="13">
        <f t="shared" si="6"/>
        <v>0</v>
      </c>
    </row>
    <row r="20" spans="1:44" hidden="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2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3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4"/>
        <v>0</v>
      </c>
      <c r="AQ20" s="4">
        <f t="shared" si="5"/>
        <v>0</v>
      </c>
      <c r="AR20" s="13">
        <f t="shared" si="6"/>
        <v>0</v>
      </c>
    </row>
    <row r="21" spans="1:44" hidden="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2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3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4"/>
        <v>0</v>
      </c>
      <c r="AQ21" s="4">
        <f t="shared" si="5"/>
        <v>0</v>
      </c>
      <c r="AR21" s="13">
        <f t="shared" si="6"/>
        <v>0</v>
      </c>
    </row>
    <row r="22" spans="1:44" hidden="1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2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3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4"/>
        <v>0</v>
      </c>
      <c r="AQ22" s="4">
        <f t="shared" si="5"/>
        <v>0</v>
      </c>
      <c r="AR22" s="13">
        <f t="shared" si="6"/>
        <v>0</v>
      </c>
    </row>
    <row r="23" spans="1:44" hidden="1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2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3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4"/>
        <v>0</v>
      </c>
      <c r="AQ23" s="4">
        <f t="shared" si="5"/>
        <v>0</v>
      </c>
      <c r="AR23" s="13">
        <f t="shared" si="6"/>
        <v>0</v>
      </c>
    </row>
    <row r="24" spans="1:44" hidden="1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2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3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4"/>
        <v>0</v>
      </c>
      <c r="AQ24" s="4">
        <f t="shared" si="5"/>
        <v>0</v>
      </c>
      <c r="AR24" s="13">
        <f t="shared" si="6"/>
        <v>0</v>
      </c>
    </row>
    <row r="25" spans="1:44" hidden="1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2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3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4"/>
        <v>0</v>
      </c>
      <c r="AQ25" s="4">
        <f t="shared" si="5"/>
        <v>0</v>
      </c>
      <c r="AR25" s="13">
        <f t="shared" si="6"/>
        <v>0</v>
      </c>
    </row>
    <row r="26" spans="1:44" hidden="1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2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3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4"/>
        <v>0</v>
      </c>
      <c r="AQ26" s="4">
        <f t="shared" si="5"/>
        <v>0</v>
      </c>
      <c r="AR26" s="13">
        <f t="shared" si="6"/>
        <v>0</v>
      </c>
    </row>
    <row r="27" spans="1:44" hidden="1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2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3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4"/>
        <v>0</v>
      </c>
      <c r="AQ27" s="4">
        <f t="shared" si="5"/>
        <v>0</v>
      </c>
      <c r="AR27" s="13">
        <f t="shared" si="6"/>
        <v>0</v>
      </c>
    </row>
    <row r="28" spans="1:44" hidden="1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2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3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4"/>
        <v>0</v>
      </c>
      <c r="AQ28" s="4">
        <f t="shared" si="5"/>
        <v>0</v>
      </c>
      <c r="AR28" s="13">
        <f t="shared" si="6"/>
        <v>0</v>
      </c>
    </row>
    <row r="29" spans="1:44" hidden="1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2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3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4"/>
        <v>0</v>
      </c>
      <c r="AQ29" s="4">
        <f t="shared" si="5"/>
        <v>0</v>
      </c>
      <c r="AR29" s="13">
        <f t="shared" si="6"/>
        <v>0</v>
      </c>
    </row>
    <row r="30" spans="1:44" x14ac:dyDescent="0.35">
      <c r="A30" s="5" t="s">
        <v>4</v>
      </c>
      <c r="B30" s="5" t="s">
        <v>8</v>
      </c>
      <c r="C30" s="5" t="s">
        <v>17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 t="shared" si="2"/>
        <v>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>
        <f t="shared" si="3"/>
        <v>0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>
        <f t="shared" si="4"/>
        <v>0</v>
      </c>
      <c r="AQ30" s="4">
        <f t="shared" si="5"/>
        <v>0</v>
      </c>
      <c r="AR30" s="13">
        <f t="shared" si="6"/>
        <v>0</v>
      </c>
    </row>
    <row r="31" spans="1:44" x14ac:dyDescent="0.35">
      <c r="A31" s="5"/>
      <c r="B31" s="5"/>
      <c r="C31" s="5" t="s">
        <v>18</v>
      </c>
      <c r="D31" s="4">
        <v>336140</v>
      </c>
      <c r="E31" s="4">
        <v>336140</v>
      </c>
      <c r="F31" s="4">
        <v>336140</v>
      </c>
      <c r="G31" s="4">
        <v>336140</v>
      </c>
      <c r="H31" s="4">
        <v>336140</v>
      </c>
      <c r="I31" s="4">
        <v>336140</v>
      </c>
      <c r="J31" s="4">
        <v>352940</v>
      </c>
      <c r="K31" s="4">
        <f>100800+352940</f>
        <v>453740</v>
      </c>
      <c r="L31" s="4">
        <v>352940</v>
      </c>
      <c r="M31" s="4">
        <v>352940</v>
      </c>
      <c r="N31" s="4">
        <v>352940</v>
      </c>
      <c r="O31" s="4">
        <v>352940</v>
      </c>
      <c r="P31" s="4">
        <f t="shared" ref="P31" si="7">SUM(D31:O31)</f>
        <v>4235280</v>
      </c>
      <c r="Q31" s="4">
        <v>8250</v>
      </c>
      <c r="R31" s="4">
        <v>8250</v>
      </c>
      <c r="S31" s="4">
        <v>8250</v>
      </c>
      <c r="T31" s="4">
        <v>8250</v>
      </c>
      <c r="U31" s="4">
        <v>8250</v>
      </c>
      <c r="V31" s="4">
        <v>8250</v>
      </c>
      <c r="W31" s="4">
        <v>8250</v>
      </c>
      <c r="X31" s="4">
        <v>8250</v>
      </c>
      <c r="Y31" s="4">
        <v>8250</v>
      </c>
      <c r="Z31" s="4">
        <v>8250</v>
      </c>
      <c r="AA31" s="4">
        <v>8250</v>
      </c>
      <c r="AB31" s="4">
        <v>8250</v>
      </c>
      <c r="AC31" s="4">
        <f>SUM(Q31:AB31)</f>
        <v>99000</v>
      </c>
      <c r="AD31" s="4">
        <f>947+8280</f>
        <v>9227</v>
      </c>
      <c r="AE31" s="4">
        <v>8280</v>
      </c>
      <c r="AF31" s="4">
        <v>8280</v>
      </c>
      <c r="AG31" s="4">
        <v>8280</v>
      </c>
      <c r="AH31" s="4">
        <v>8280</v>
      </c>
      <c r="AI31" s="4">
        <v>8280</v>
      </c>
      <c r="AJ31" s="4">
        <v>8691</v>
      </c>
      <c r="AK31" s="4">
        <f>2484+8691</f>
        <v>11175</v>
      </c>
      <c r="AL31" s="4">
        <v>8691</v>
      </c>
      <c r="AM31" s="4">
        <v>8691</v>
      </c>
      <c r="AN31" s="4">
        <v>8691</v>
      </c>
      <c r="AO31" s="4">
        <v>8691</v>
      </c>
      <c r="AP31" s="4">
        <f t="shared" ref="AP31" si="8">SUM(AD31:AO31)</f>
        <v>105257</v>
      </c>
      <c r="AQ31" s="4">
        <f t="shared" ref="AQ31" si="9">+P31+AC31+AP31</f>
        <v>4439537</v>
      </c>
      <c r="AR31" s="13">
        <f t="shared" si="6"/>
        <v>4439537</v>
      </c>
    </row>
    <row r="32" spans="1:44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2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3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4"/>
        <v>0</v>
      </c>
      <c r="AQ32" s="4">
        <f t="shared" si="5"/>
        <v>0</v>
      </c>
      <c r="AR32" s="13">
        <f t="shared" si="6"/>
        <v>0</v>
      </c>
    </row>
    <row r="33" spans="1:44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2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3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4"/>
        <v>0</v>
      </c>
      <c r="AQ33" s="4">
        <f t="shared" si="5"/>
        <v>0</v>
      </c>
      <c r="AR33" s="13">
        <f t="shared" si="6"/>
        <v>0</v>
      </c>
    </row>
    <row r="34" spans="1:44" x14ac:dyDescent="0.35">
      <c r="A34" s="5"/>
      <c r="B34" s="5" t="s">
        <v>9</v>
      </c>
      <c r="C34" s="5" t="s">
        <v>17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 t="shared" si="2"/>
        <v>0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>
        <f t="shared" si="3"/>
        <v>0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>
        <f t="shared" si="4"/>
        <v>0</v>
      </c>
      <c r="AQ34" s="4">
        <f t="shared" si="5"/>
        <v>0</v>
      </c>
      <c r="AR34" s="13">
        <f t="shared" si="6"/>
        <v>0</v>
      </c>
    </row>
    <row r="35" spans="1:44" x14ac:dyDescent="0.35">
      <c r="A35" s="6"/>
      <c r="B35" s="6"/>
      <c r="C35" s="5" t="s">
        <v>18</v>
      </c>
      <c r="D35" s="7">
        <v>96920</v>
      </c>
      <c r="E35" s="7">
        <v>96920</v>
      </c>
      <c r="F35" s="7">
        <v>96920</v>
      </c>
      <c r="G35" s="7">
        <v>96920</v>
      </c>
      <c r="H35" s="7">
        <v>96920</v>
      </c>
      <c r="I35" s="7">
        <v>96920</v>
      </c>
      <c r="J35" s="7">
        <v>101760</v>
      </c>
      <c r="K35" s="7">
        <f>29040+101760</f>
        <v>130800</v>
      </c>
      <c r="L35" s="7">
        <v>101760</v>
      </c>
      <c r="M35" s="7">
        <v>101760</v>
      </c>
      <c r="N35" s="7">
        <v>101760</v>
      </c>
      <c r="O35" s="7">
        <v>101760</v>
      </c>
      <c r="P35" s="4">
        <f t="shared" si="2"/>
        <v>1221120</v>
      </c>
      <c r="Q35" s="7">
        <v>3000</v>
      </c>
      <c r="R35" s="7">
        <v>3000</v>
      </c>
      <c r="S35" s="7">
        <v>3000</v>
      </c>
      <c r="T35" s="7">
        <v>3000</v>
      </c>
      <c r="U35" s="7">
        <v>3000</v>
      </c>
      <c r="V35" s="7">
        <v>3000</v>
      </c>
      <c r="W35" s="7">
        <v>3000</v>
      </c>
      <c r="X35" s="7">
        <v>3000</v>
      </c>
      <c r="Y35" s="7">
        <v>3000</v>
      </c>
      <c r="Z35" s="7">
        <v>3000</v>
      </c>
      <c r="AA35" s="7">
        <v>3000</v>
      </c>
      <c r="AB35" s="7">
        <v>3000</v>
      </c>
      <c r="AC35" s="4">
        <f>SUM(Q35:AB35)</f>
        <v>36000</v>
      </c>
      <c r="AD35" s="7">
        <v>2906</v>
      </c>
      <c r="AE35" s="7">
        <v>2906</v>
      </c>
      <c r="AF35" s="7">
        <v>2906</v>
      </c>
      <c r="AG35" s="7">
        <v>2906</v>
      </c>
      <c r="AH35" s="7">
        <v>2906</v>
      </c>
      <c r="AI35" s="7">
        <v>2906</v>
      </c>
      <c r="AJ35" s="7">
        <v>3052</v>
      </c>
      <c r="AK35" s="7">
        <f>876+3052</f>
        <v>3928</v>
      </c>
      <c r="AL35" s="7">
        <v>3052</v>
      </c>
      <c r="AM35" s="7">
        <v>3052</v>
      </c>
      <c r="AN35" s="7">
        <v>3052</v>
      </c>
      <c r="AO35" s="7">
        <v>3052</v>
      </c>
      <c r="AP35" s="4">
        <f t="shared" si="4"/>
        <v>36624</v>
      </c>
      <c r="AQ35" s="4">
        <f t="shared" si="5"/>
        <v>1293744</v>
      </c>
      <c r="AR35" s="13">
        <f t="shared" si="6"/>
        <v>1293744</v>
      </c>
    </row>
    <row r="36" spans="1:44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3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4"/>
        <v>0</v>
      </c>
      <c r="AQ36" s="4">
        <f t="shared" si="5"/>
        <v>0</v>
      </c>
      <c r="AR36" s="13">
        <f t="shared" si="6"/>
        <v>0</v>
      </c>
    </row>
    <row r="37" spans="1:44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2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3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4"/>
        <v>0</v>
      </c>
      <c r="AQ37" s="4">
        <f t="shared" si="5"/>
        <v>0</v>
      </c>
      <c r="AR37" s="13">
        <f t="shared" si="6"/>
        <v>0</v>
      </c>
    </row>
    <row r="38" spans="1:44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2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3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4"/>
        <v>0</v>
      </c>
      <c r="AQ38" s="4">
        <f t="shared" si="5"/>
        <v>0</v>
      </c>
      <c r="AR38" s="13">
        <f t="shared" si="6"/>
        <v>0</v>
      </c>
    </row>
    <row r="39" spans="1:44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2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3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4"/>
        <v>0</v>
      </c>
      <c r="AQ39" s="4">
        <f t="shared" si="5"/>
        <v>0</v>
      </c>
      <c r="AR39" s="13">
        <f t="shared" si="6"/>
        <v>0</v>
      </c>
    </row>
    <row r="40" spans="1:44" s="10" customFormat="1" ht="21.75" thickBot="1" x14ac:dyDescent="0.4">
      <c r="A40" s="8"/>
      <c r="B40" s="8"/>
      <c r="C40" s="8"/>
      <c r="D40" s="9">
        <f>SUM(D6:D39)</f>
        <v>433060</v>
      </c>
      <c r="E40" s="9">
        <f t="shared" ref="E40:O40" si="10">SUM(E6:E39)</f>
        <v>433060</v>
      </c>
      <c r="F40" s="9">
        <f t="shared" si="10"/>
        <v>433060</v>
      </c>
      <c r="G40" s="9">
        <f t="shared" si="10"/>
        <v>433060</v>
      </c>
      <c r="H40" s="9">
        <f t="shared" si="10"/>
        <v>433060</v>
      </c>
      <c r="I40" s="9">
        <f t="shared" si="10"/>
        <v>433060</v>
      </c>
      <c r="J40" s="9">
        <f t="shared" si="10"/>
        <v>454700</v>
      </c>
      <c r="K40" s="9">
        <f t="shared" si="10"/>
        <v>584540</v>
      </c>
      <c r="L40" s="9">
        <f t="shared" si="10"/>
        <v>454700</v>
      </c>
      <c r="M40" s="9">
        <f t="shared" si="10"/>
        <v>454700</v>
      </c>
      <c r="N40" s="9">
        <f t="shared" si="10"/>
        <v>454700</v>
      </c>
      <c r="O40" s="9">
        <f t="shared" si="10"/>
        <v>454700</v>
      </c>
      <c r="P40" s="25">
        <f t="shared" si="2"/>
        <v>5456400</v>
      </c>
      <c r="Q40" s="9">
        <f>SUM(Q6:Q39)</f>
        <v>11250</v>
      </c>
      <c r="R40" s="9">
        <f t="shared" ref="R40:AB40" si="11">SUM(R6:R39)</f>
        <v>11250</v>
      </c>
      <c r="S40" s="9">
        <f t="shared" si="11"/>
        <v>11250</v>
      </c>
      <c r="T40" s="9">
        <f t="shared" si="11"/>
        <v>11250</v>
      </c>
      <c r="U40" s="9">
        <f t="shared" si="11"/>
        <v>11250</v>
      </c>
      <c r="V40" s="9">
        <f t="shared" si="11"/>
        <v>11250</v>
      </c>
      <c r="W40" s="9">
        <f t="shared" si="11"/>
        <v>11250</v>
      </c>
      <c r="X40" s="9">
        <f t="shared" si="11"/>
        <v>11250</v>
      </c>
      <c r="Y40" s="9">
        <f t="shared" si="11"/>
        <v>11250</v>
      </c>
      <c r="Z40" s="9">
        <f t="shared" si="11"/>
        <v>11250</v>
      </c>
      <c r="AA40" s="9">
        <f t="shared" si="11"/>
        <v>11250</v>
      </c>
      <c r="AB40" s="9">
        <f t="shared" si="11"/>
        <v>11250</v>
      </c>
      <c r="AC40" s="25">
        <f t="shared" si="3"/>
        <v>135000</v>
      </c>
      <c r="AD40" s="9">
        <f>SUM(AD6:AD39)</f>
        <v>12133</v>
      </c>
      <c r="AE40" s="9">
        <f t="shared" ref="AE40:AO40" si="12">SUM(AE6:AE39)</f>
        <v>11186</v>
      </c>
      <c r="AF40" s="9">
        <f t="shared" si="12"/>
        <v>11186</v>
      </c>
      <c r="AG40" s="9">
        <f t="shared" si="12"/>
        <v>11186</v>
      </c>
      <c r="AH40" s="9">
        <f t="shared" si="12"/>
        <v>11186</v>
      </c>
      <c r="AI40" s="9">
        <f t="shared" si="12"/>
        <v>11186</v>
      </c>
      <c r="AJ40" s="9">
        <f t="shared" si="12"/>
        <v>11743</v>
      </c>
      <c r="AK40" s="9">
        <f t="shared" si="12"/>
        <v>15103</v>
      </c>
      <c r="AL40" s="9">
        <f t="shared" si="12"/>
        <v>11743</v>
      </c>
      <c r="AM40" s="9">
        <f t="shared" si="12"/>
        <v>11743</v>
      </c>
      <c r="AN40" s="9">
        <f t="shared" si="12"/>
        <v>11743</v>
      </c>
      <c r="AO40" s="9">
        <f t="shared" si="12"/>
        <v>11743</v>
      </c>
      <c r="AP40" s="25">
        <f t="shared" si="4"/>
        <v>141881</v>
      </c>
      <c r="AQ40" s="25">
        <f t="shared" si="5"/>
        <v>5733281</v>
      </c>
      <c r="AR40" s="26">
        <f>+AQ40</f>
        <v>5733281</v>
      </c>
    </row>
    <row r="41" spans="1:44" ht="21.75" thickTop="1" x14ac:dyDescent="0.35"/>
    <row r="42" spans="1:44" hidden="1" x14ac:dyDescent="0.35">
      <c r="A42" s="1" t="s">
        <v>301</v>
      </c>
    </row>
    <row r="43" spans="1:44" hidden="1" x14ac:dyDescent="0.35">
      <c r="A43" s="71" t="s">
        <v>297</v>
      </c>
    </row>
    <row r="44" spans="1:44" hidden="1" x14ac:dyDescent="0.35">
      <c r="A44" s="1" t="s">
        <v>302</v>
      </c>
    </row>
    <row r="45" spans="1:44" hidden="1" x14ac:dyDescent="0.35">
      <c r="A45" s="1" t="s">
        <v>298</v>
      </c>
      <c r="K45" s="1">
        <f>100800+29040</f>
        <v>129840</v>
      </c>
      <c r="AD45" s="1">
        <v>947</v>
      </c>
      <c r="AK45" s="1">
        <f>2484+876</f>
        <v>3360</v>
      </c>
    </row>
    <row r="46" spans="1:44" hidden="1" x14ac:dyDescent="0.35">
      <c r="A46" s="53" t="s">
        <v>115</v>
      </c>
    </row>
    <row r="47" spans="1:44" hidden="1" x14ac:dyDescent="0.35"/>
  </sheetData>
  <mergeCells count="9">
    <mergeCell ref="AR3:AR4"/>
    <mergeCell ref="D4:P4"/>
    <mergeCell ref="Q4:AC4"/>
    <mergeCell ref="AD4:AP4"/>
    <mergeCell ref="A1:F1"/>
    <mergeCell ref="A3:A4"/>
    <mergeCell ref="B3:B4"/>
    <mergeCell ref="D3:AQ3"/>
    <mergeCell ref="AQ4:AQ5"/>
  </mergeCells>
  <pageMargins left="0.7" right="0.7" top="0.75" bottom="0.75" header="0.3" footer="0.3"/>
  <pageSetup paperSize="9" scale="65" orientation="landscape" horizontalDpi="4294967295" verticalDpi="4294967295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49"/>
  <sheetViews>
    <sheetView showGridLines="0" zoomScale="70" zoomScaleNormal="70" workbookViewId="0">
      <pane xSplit="3" ySplit="6" topLeftCell="D33" activePane="bottomRight" state="frozen"/>
      <selection pane="topRight" activeCell="D1" sqref="D1"/>
      <selection pane="bottomLeft" activeCell="A7" sqref="A7"/>
      <selection pane="bottomRight" activeCell="A42" sqref="A42:XFD49"/>
    </sheetView>
  </sheetViews>
  <sheetFormatPr defaultColWidth="9" defaultRowHeight="21" x14ac:dyDescent="0.35"/>
  <cols>
    <col min="1" max="2" width="7.375" style="1" bestFit="1" customWidth="1"/>
    <col min="3" max="3" width="5.875" style="3" bestFit="1" customWidth="1"/>
    <col min="4" max="6" width="13.875" style="3" hidden="1" customWidth="1"/>
    <col min="7" max="10" width="13.875" style="1" hidden="1" customWidth="1"/>
    <col min="11" max="11" width="15.75" style="1" hidden="1" customWidth="1"/>
    <col min="12" max="12" width="13.875" style="1" hidden="1" customWidth="1"/>
    <col min="13" max="15" width="15.75" style="1" hidden="1" customWidth="1"/>
    <col min="16" max="16" width="15.25" style="1" bestFit="1" customWidth="1"/>
    <col min="17" max="28" width="12.375" style="1" hidden="1" customWidth="1"/>
    <col min="29" max="29" width="12.375" style="1" bestFit="1" customWidth="1"/>
    <col min="30" max="41" width="12.375" style="1" hidden="1" customWidth="1"/>
    <col min="42" max="42" width="12.375" style="1" bestFit="1" customWidth="1"/>
    <col min="43" max="43" width="15.25" style="1" bestFit="1" customWidth="1"/>
    <col min="44" max="44" width="11.125" style="1" hidden="1" customWidth="1"/>
    <col min="45" max="45" width="13.875" style="1" hidden="1" customWidth="1"/>
    <col min="46" max="46" width="11.125" style="1" hidden="1" customWidth="1"/>
    <col min="47" max="51" width="12.375" style="1" hidden="1" customWidth="1"/>
    <col min="52" max="52" width="13.875" style="1" hidden="1" customWidth="1"/>
    <col min="53" max="55" width="12.375" style="1" hidden="1" customWidth="1"/>
    <col min="56" max="56" width="12.375" style="1" bestFit="1" customWidth="1"/>
    <col min="57" max="57" width="15.25" style="1" bestFit="1" customWidth="1"/>
    <col min="58" max="16384" width="9" style="1"/>
  </cols>
  <sheetData>
    <row r="1" spans="1:57" x14ac:dyDescent="0.35">
      <c r="A1" s="97" t="s">
        <v>235</v>
      </c>
      <c r="B1" s="98"/>
      <c r="C1" s="98"/>
      <c r="D1" s="98"/>
      <c r="E1" s="98"/>
      <c r="F1" s="98"/>
    </row>
    <row r="2" spans="1:57" s="12" customFormat="1" x14ac:dyDescent="0.35">
      <c r="A2" s="32"/>
      <c r="B2" s="32"/>
      <c r="C2" s="32"/>
      <c r="D2" s="32"/>
      <c r="E2" s="32"/>
      <c r="F2" s="32"/>
    </row>
    <row r="3" spans="1:57" s="2" customFormat="1" x14ac:dyDescent="0.35">
      <c r="A3" s="92" t="s">
        <v>0</v>
      </c>
      <c r="B3" s="92" t="s">
        <v>14</v>
      </c>
      <c r="C3" s="30"/>
      <c r="D3" s="89" t="s">
        <v>56</v>
      </c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1"/>
      <c r="AR3" s="89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1"/>
      <c r="BE3" s="92" t="s">
        <v>16</v>
      </c>
    </row>
    <row r="4" spans="1:57" s="2" customFormat="1" x14ac:dyDescent="0.35">
      <c r="A4" s="93"/>
      <c r="B4" s="93"/>
      <c r="C4" s="31"/>
      <c r="D4" s="94" t="s">
        <v>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6"/>
      <c r="Q4" s="89" t="s">
        <v>6</v>
      </c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1"/>
      <c r="AD4" s="89" t="s">
        <v>7</v>
      </c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1"/>
      <c r="AQ4" s="87" t="s">
        <v>227</v>
      </c>
      <c r="AR4" s="89" t="s">
        <v>87</v>
      </c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1"/>
      <c r="BE4" s="93"/>
    </row>
    <row r="5" spans="1:57" s="2" customFormat="1" x14ac:dyDescent="0.35">
      <c r="A5" s="31"/>
      <c r="B5" s="31"/>
      <c r="C5" s="31"/>
      <c r="D5" s="16" t="s">
        <v>348</v>
      </c>
      <c r="E5" s="16" t="s">
        <v>349</v>
      </c>
      <c r="F5" s="16" t="s">
        <v>350</v>
      </c>
      <c r="G5" s="16" t="s">
        <v>351</v>
      </c>
      <c r="H5" s="16" t="s">
        <v>352</v>
      </c>
      <c r="I5" s="16" t="s">
        <v>353</v>
      </c>
      <c r="J5" s="16" t="s">
        <v>354</v>
      </c>
      <c r="K5" s="16" t="s">
        <v>355</v>
      </c>
      <c r="L5" s="16" t="s">
        <v>356</v>
      </c>
      <c r="M5" s="16" t="s">
        <v>357</v>
      </c>
      <c r="N5" s="16" t="s">
        <v>358</v>
      </c>
      <c r="O5" s="16" t="s">
        <v>359</v>
      </c>
      <c r="P5" s="17" t="s">
        <v>16</v>
      </c>
      <c r="Q5" s="16" t="str">
        <f>+D5</f>
        <v>ต.ค.</v>
      </c>
      <c r="R5" s="16" t="str">
        <f t="shared" ref="R5:AB5" si="0">+E5</f>
        <v>พ.ย.</v>
      </c>
      <c r="S5" s="16" t="str">
        <f t="shared" si="0"/>
        <v>ธ.ค.</v>
      </c>
      <c r="T5" s="16" t="str">
        <f t="shared" si="0"/>
        <v>ม.ค.</v>
      </c>
      <c r="U5" s="16" t="str">
        <f t="shared" si="0"/>
        <v>ก.พ.</v>
      </c>
      <c r="V5" s="16" t="str">
        <f t="shared" si="0"/>
        <v>มี.ค.</v>
      </c>
      <c r="W5" s="16" t="str">
        <f t="shared" si="0"/>
        <v>เม.ย.</v>
      </c>
      <c r="X5" s="16" t="str">
        <f t="shared" si="0"/>
        <v>พ.ค.</v>
      </c>
      <c r="Y5" s="16" t="str">
        <f t="shared" si="0"/>
        <v>มิ.ย.</v>
      </c>
      <c r="Z5" s="16" t="str">
        <f t="shared" si="0"/>
        <v>ก.ค.</v>
      </c>
      <c r="AA5" s="16" t="str">
        <f t="shared" si="0"/>
        <v>ส.ค.</v>
      </c>
      <c r="AB5" s="16" t="str">
        <f t="shared" si="0"/>
        <v>ก.ย.</v>
      </c>
      <c r="AC5" s="17" t="s">
        <v>16</v>
      </c>
      <c r="AD5" s="16" t="str">
        <f>+Q5</f>
        <v>ต.ค.</v>
      </c>
      <c r="AE5" s="16" t="str">
        <f t="shared" ref="AE5:AO5" si="1">+R5</f>
        <v>พ.ย.</v>
      </c>
      <c r="AF5" s="16" t="str">
        <f t="shared" si="1"/>
        <v>ธ.ค.</v>
      </c>
      <c r="AG5" s="16" t="str">
        <f t="shared" si="1"/>
        <v>ม.ค.</v>
      </c>
      <c r="AH5" s="16" t="str">
        <f t="shared" si="1"/>
        <v>ก.พ.</v>
      </c>
      <c r="AI5" s="16" t="str">
        <f t="shared" si="1"/>
        <v>มี.ค.</v>
      </c>
      <c r="AJ5" s="16" t="str">
        <f t="shared" si="1"/>
        <v>เม.ย.</v>
      </c>
      <c r="AK5" s="16" t="str">
        <f t="shared" si="1"/>
        <v>พ.ค.</v>
      </c>
      <c r="AL5" s="16" t="str">
        <f t="shared" si="1"/>
        <v>มิ.ย.</v>
      </c>
      <c r="AM5" s="16" t="str">
        <f t="shared" si="1"/>
        <v>ก.ค.</v>
      </c>
      <c r="AN5" s="16" t="str">
        <f t="shared" si="1"/>
        <v>ส.ค.</v>
      </c>
      <c r="AO5" s="16" t="str">
        <f t="shared" si="1"/>
        <v>ก.ย.</v>
      </c>
      <c r="AP5" s="17" t="s">
        <v>16</v>
      </c>
      <c r="AQ5" s="88"/>
      <c r="AR5" s="16" t="str">
        <f>+AD5</f>
        <v>ต.ค.</v>
      </c>
      <c r="AS5" s="16" t="str">
        <f t="shared" ref="AS5:BC5" si="2">+AE5</f>
        <v>พ.ย.</v>
      </c>
      <c r="AT5" s="16" t="str">
        <f t="shared" si="2"/>
        <v>ธ.ค.</v>
      </c>
      <c r="AU5" s="16" t="str">
        <f t="shared" si="2"/>
        <v>ม.ค.</v>
      </c>
      <c r="AV5" s="16" t="str">
        <f t="shared" si="2"/>
        <v>ก.พ.</v>
      </c>
      <c r="AW5" s="16" t="str">
        <f t="shared" si="2"/>
        <v>มี.ค.</v>
      </c>
      <c r="AX5" s="16" t="str">
        <f t="shared" si="2"/>
        <v>เม.ย.</v>
      </c>
      <c r="AY5" s="16" t="str">
        <f t="shared" si="2"/>
        <v>พ.ค.</v>
      </c>
      <c r="AZ5" s="16" t="str">
        <f t="shared" si="2"/>
        <v>มิ.ย.</v>
      </c>
      <c r="BA5" s="16" t="str">
        <f t="shared" si="2"/>
        <v>ก.ค.</v>
      </c>
      <c r="BB5" s="16" t="str">
        <f t="shared" si="2"/>
        <v>ส.ค.</v>
      </c>
      <c r="BC5" s="16" t="str">
        <f t="shared" si="2"/>
        <v>ก.ย.</v>
      </c>
      <c r="BD5" s="17" t="s">
        <v>16</v>
      </c>
      <c r="BE5" s="24"/>
    </row>
    <row r="6" spans="1:57" hidden="1" x14ac:dyDescent="0.35">
      <c r="A6" s="5" t="s">
        <v>1</v>
      </c>
      <c r="B6" s="5" t="s">
        <v>8</v>
      </c>
      <c r="C6" s="5" t="s">
        <v>17</v>
      </c>
      <c r="D6" s="4"/>
      <c r="E6" s="4"/>
      <c r="F6" s="4"/>
      <c r="G6" s="4"/>
      <c r="H6" s="4"/>
      <c r="I6" s="4"/>
      <c r="J6" s="37"/>
      <c r="K6" s="37"/>
      <c r="L6" s="4"/>
      <c r="M6" s="4"/>
      <c r="N6" s="4"/>
      <c r="O6" s="4"/>
      <c r="P6" s="4">
        <f>SUM(D6:O6)</f>
        <v>0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>
        <f>SUM(Q6:AB6)</f>
        <v>0</v>
      </c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>
        <f>SUM(AD6:AO6)</f>
        <v>0</v>
      </c>
      <c r="AQ6" s="4">
        <f>+P6+AC6+AP6</f>
        <v>0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>
        <f>SUM(AR6:BC6)</f>
        <v>0</v>
      </c>
      <c r="BE6" s="13">
        <f>+AQ6+BD6</f>
        <v>0</v>
      </c>
    </row>
    <row r="7" spans="1:57" hidden="1" x14ac:dyDescent="0.35">
      <c r="A7" s="5"/>
      <c r="B7" s="5"/>
      <c r="C7" s="5" t="s">
        <v>18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 t="shared" ref="P7:P40" si="3">SUM(D7:O7)</f>
        <v>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>
        <f t="shared" ref="AC7:AC40" si="4">SUM(Q7:AB7)</f>
        <v>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>
        <f t="shared" ref="AP7:AP40" si="5">SUM(AD7:AO7)</f>
        <v>0</v>
      </c>
      <c r="AQ7" s="4">
        <f t="shared" ref="AQ7:AQ40" si="6">+P7+AC7+AP7</f>
        <v>0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>
        <f t="shared" ref="BD7:BD40" si="7">SUM(AR7:BC7)</f>
        <v>0</v>
      </c>
      <c r="BE7" s="13">
        <f t="shared" ref="BE7:BE39" si="8">+AQ7+BD7</f>
        <v>0</v>
      </c>
    </row>
    <row r="8" spans="1:57" hidden="1" x14ac:dyDescent="0.35">
      <c r="A8" s="5"/>
      <c r="B8" s="5"/>
      <c r="C8" s="5" t="s">
        <v>19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 t="shared" si="3"/>
        <v>0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>
        <f t="shared" si="4"/>
        <v>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>
        <f t="shared" si="5"/>
        <v>0</v>
      </c>
      <c r="AQ8" s="4">
        <f t="shared" si="6"/>
        <v>0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>
        <f t="shared" si="7"/>
        <v>0</v>
      </c>
      <c r="BE8" s="13">
        <f t="shared" si="8"/>
        <v>0</v>
      </c>
    </row>
    <row r="9" spans="1:57" hidden="1" x14ac:dyDescent="0.35">
      <c r="A9" s="5"/>
      <c r="B9" s="5"/>
      <c r="C9" s="5" t="s">
        <v>20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 t="shared" si="3"/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>
        <f t="shared" si="4"/>
        <v>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>
        <f t="shared" si="5"/>
        <v>0</v>
      </c>
      <c r="AQ9" s="4">
        <f t="shared" si="6"/>
        <v>0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>
        <f t="shared" si="7"/>
        <v>0</v>
      </c>
      <c r="BE9" s="13">
        <f t="shared" si="8"/>
        <v>0</v>
      </c>
    </row>
    <row r="10" spans="1:57" hidden="1" x14ac:dyDescent="0.35">
      <c r="A10" s="5"/>
      <c r="B10" s="5" t="s">
        <v>9</v>
      </c>
      <c r="C10" s="5" t="s">
        <v>17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 t="shared" si="3"/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 t="shared" si="4"/>
        <v>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>
        <f t="shared" si="5"/>
        <v>0</v>
      </c>
      <c r="AQ10" s="4">
        <f t="shared" si="6"/>
        <v>0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>
        <f t="shared" si="7"/>
        <v>0</v>
      </c>
      <c r="BE10" s="13">
        <f t="shared" si="8"/>
        <v>0</v>
      </c>
    </row>
    <row r="11" spans="1:57" hidden="1" x14ac:dyDescent="0.35">
      <c r="A11" s="5"/>
      <c r="B11" s="5"/>
      <c r="C11" s="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 t="shared" si="3"/>
        <v>0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>
        <f t="shared" si="4"/>
        <v>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>
        <f t="shared" si="5"/>
        <v>0</v>
      </c>
      <c r="AQ11" s="4">
        <f t="shared" si="6"/>
        <v>0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>
        <f t="shared" si="7"/>
        <v>0</v>
      </c>
      <c r="BE11" s="13">
        <f t="shared" si="8"/>
        <v>0</v>
      </c>
    </row>
    <row r="12" spans="1:57" hidden="1" x14ac:dyDescent="0.35">
      <c r="A12" s="5"/>
      <c r="B12" s="5"/>
      <c r="C12" s="5" t="s">
        <v>19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 t="shared" si="3"/>
        <v>0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>
        <f t="shared" si="4"/>
        <v>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>
        <f t="shared" si="5"/>
        <v>0</v>
      </c>
      <c r="AQ12" s="4">
        <f t="shared" si="6"/>
        <v>0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>
        <f t="shared" si="7"/>
        <v>0</v>
      </c>
      <c r="BE12" s="13">
        <f t="shared" si="8"/>
        <v>0</v>
      </c>
    </row>
    <row r="13" spans="1:57" hidden="1" x14ac:dyDescent="0.35">
      <c r="A13" s="5"/>
      <c r="B13" s="5"/>
      <c r="C13" s="5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 t="shared" si="3"/>
        <v>0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>
        <f t="shared" si="4"/>
        <v>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>
        <f t="shared" si="5"/>
        <v>0</v>
      </c>
      <c r="AQ13" s="4">
        <f t="shared" si="6"/>
        <v>0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>
        <f t="shared" si="7"/>
        <v>0</v>
      </c>
      <c r="BE13" s="13">
        <f t="shared" si="8"/>
        <v>0</v>
      </c>
    </row>
    <row r="14" spans="1:57" hidden="1" x14ac:dyDescent="0.35">
      <c r="A14" s="5" t="s">
        <v>2</v>
      </c>
      <c r="B14" s="5" t="s">
        <v>8</v>
      </c>
      <c r="C14" s="5" t="s">
        <v>17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 t="shared" si="3"/>
        <v>0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>
        <f t="shared" si="4"/>
        <v>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>
        <f t="shared" si="5"/>
        <v>0</v>
      </c>
      <c r="AQ14" s="4">
        <f t="shared" si="6"/>
        <v>0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>
        <f t="shared" si="7"/>
        <v>0</v>
      </c>
      <c r="BE14" s="13">
        <f t="shared" si="8"/>
        <v>0</v>
      </c>
    </row>
    <row r="15" spans="1:57" hidden="1" x14ac:dyDescent="0.35">
      <c r="A15" s="5"/>
      <c r="B15" s="5"/>
      <c r="C15" s="5" t="s">
        <v>18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 t="shared" si="3"/>
        <v>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>
        <f t="shared" si="4"/>
        <v>0</v>
      </c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>
        <f t="shared" si="5"/>
        <v>0</v>
      </c>
      <c r="AQ15" s="4">
        <f t="shared" si="6"/>
        <v>0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f t="shared" si="7"/>
        <v>0</v>
      </c>
      <c r="BE15" s="13">
        <f t="shared" si="8"/>
        <v>0</v>
      </c>
    </row>
    <row r="16" spans="1:57" hidden="1" x14ac:dyDescent="0.35">
      <c r="A16" s="5"/>
      <c r="B16" s="5"/>
      <c r="C16" s="5" t="s">
        <v>19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 t="shared" si="3"/>
        <v>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f t="shared" si="4"/>
        <v>0</v>
      </c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f t="shared" si="5"/>
        <v>0</v>
      </c>
      <c r="AQ16" s="4">
        <f t="shared" si="6"/>
        <v>0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>
        <f t="shared" si="7"/>
        <v>0</v>
      </c>
      <c r="BE16" s="13">
        <f t="shared" si="8"/>
        <v>0</v>
      </c>
    </row>
    <row r="17" spans="1:57" hidden="1" x14ac:dyDescent="0.35">
      <c r="A17" s="5"/>
      <c r="B17" s="5"/>
      <c r="C17" s="5" t="s">
        <v>20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 t="shared" si="3"/>
        <v>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f t="shared" si="4"/>
        <v>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>
        <f t="shared" si="5"/>
        <v>0</v>
      </c>
      <c r="AQ17" s="4">
        <f t="shared" si="6"/>
        <v>0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f t="shared" si="7"/>
        <v>0</v>
      </c>
      <c r="BE17" s="13">
        <f t="shared" si="8"/>
        <v>0</v>
      </c>
    </row>
    <row r="18" spans="1:57" hidden="1" x14ac:dyDescent="0.35">
      <c r="A18" s="5"/>
      <c r="B18" s="5" t="s">
        <v>9</v>
      </c>
      <c r="C18" s="5" t="s"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 t="shared" si="3"/>
        <v>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>
        <f t="shared" si="4"/>
        <v>0</v>
      </c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>
        <f t="shared" si="5"/>
        <v>0</v>
      </c>
      <c r="AQ18" s="4">
        <f t="shared" si="6"/>
        <v>0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f t="shared" si="7"/>
        <v>0</v>
      </c>
      <c r="BE18" s="13">
        <f t="shared" si="8"/>
        <v>0</v>
      </c>
    </row>
    <row r="19" spans="1:57" hidden="1" x14ac:dyDescent="0.35">
      <c r="A19" s="5"/>
      <c r="B19" s="5"/>
      <c r="C19" s="5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 t="shared" si="3"/>
        <v>0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f t="shared" si="4"/>
        <v>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>
        <f t="shared" si="5"/>
        <v>0</v>
      </c>
      <c r="AQ19" s="4">
        <f t="shared" si="6"/>
        <v>0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f t="shared" si="7"/>
        <v>0</v>
      </c>
      <c r="BE19" s="13">
        <f t="shared" si="8"/>
        <v>0</v>
      </c>
    </row>
    <row r="20" spans="1:57" hidden="1" x14ac:dyDescent="0.35">
      <c r="A20" s="5"/>
      <c r="B20" s="5"/>
      <c r="C20" s="5" t="s">
        <v>19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 t="shared" si="3"/>
        <v>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>
        <f t="shared" si="4"/>
        <v>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>
        <f t="shared" si="5"/>
        <v>0</v>
      </c>
      <c r="AQ20" s="4">
        <f t="shared" si="6"/>
        <v>0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>
        <f t="shared" si="7"/>
        <v>0</v>
      </c>
      <c r="BE20" s="13">
        <f t="shared" si="8"/>
        <v>0</v>
      </c>
    </row>
    <row r="21" spans="1:57" hidden="1" x14ac:dyDescent="0.35">
      <c r="A21" s="5"/>
      <c r="B21" s="5"/>
      <c r="C21" s="5" t="s">
        <v>20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 t="shared" si="3"/>
        <v>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f t="shared" si="4"/>
        <v>0</v>
      </c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>
        <f t="shared" si="5"/>
        <v>0</v>
      </c>
      <c r="AQ21" s="4">
        <f t="shared" si="6"/>
        <v>0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f t="shared" si="7"/>
        <v>0</v>
      </c>
      <c r="BE21" s="13">
        <f t="shared" si="8"/>
        <v>0</v>
      </c>
    </row>
    <row r="22" spans="1:57" hidden="1" x14ac:dyDescent="0.35">
      <c r="A22" s="5" t="s">
        <v>3</v>
      </c>
      <c r="B22" s="5" t="s">
        <v>8</v>
      </c>
      <c r="C22" s="5" t="s">
        <v>17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 t="shared" si="3"/>
        <v>0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>
        <f t="shared" si="4"/>
        <v>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>
        <f t="shared" si="5"/>
        <v>0</v>
      </c>
      <c r="AQ22" s="4">
        <f t="shared" si="6"/>
        <v>0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>
        <f t="shared" si="7"/>
        <v>0</v>
      </c>
      <c r="BE22" s="13">
        <f t="shared" si="8"/>
        <v>0</v>
      </c>
    </row>
    <row r="23" spans="1:57" hidden="1" x14ac:dyDescent="0.35">
      <c r="A23" s="5"/>
      <c r="B23" s="5"/>
      <c r="C23" s="5" t="s">
        <v>18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 t="shared" si="3"/>
        <v>0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>
        <f t="shared" si="4"/>
        <v>0</v>
      </c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>
        <f t="shared" si="5"/>
        <v>0</v>
      </c>
      <c r="AQ23" s="4">
        <f t="shared" si="6"/>
        <v>0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>
        <f t="shared" si="7"/>
        <v>0</v>
      </c>
      <c r="BE23" s="13">
        <f t="shared" si="8"/>
        <v>0</v>
      </c>
    </row>
    <row r="24" spans="1:57" hidden="1" x14ac:dyDescent="0.35">
      <c r="A24" s="5"/>
      <c r="B24" s="5"/>
      <c r="C24" s="5" t="s">
        <v>19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 t="shared" si="3"/>
        <v>0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>
        <f t="shared" si="4"/>
        <v>0</v>
      </c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>
        <f t="shared" si="5"/>
        <v>0</v>
      </c>
      <c r="AQ24" s="4">
        <f t="shared" si="6"/>
        <v>0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>
        <f t="shared" si="7"/>
        <v>0</v>
      </c>
      <c r="BE24" s="13">
        <f t="shared" si="8"/>
        <v>0</v>
      </c>
    </row>
    <row r="25" spans="1:57" hidden="1" x14ac:dyDescent="0.35">
      <c r="A25" s="5"/>
      <c r="B25" s="5"/>
      <c r="C25" s="5" t="s">
        <v>20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 t="shared" si="3"/>
        <v>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f t="shared" si="4"/>
        <v>0</v>
      </c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>
        <f t="shared" si="5"/>
        <v>0</v>
      </c>
      <c r="AQ25" s="4">
        <f t="shared" si="6"/>
        <v>0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>
        <f t="shared" si="7"/>
        <v>0</v>
      </c>
      <c r="BE25" s="13">
        <f t="shared" si="8"/>
        <v>0</v>
      </c>
    </row>
    <row r="26" spans="1:57" hidden="1" x14ac:dyDescent="0.35">
      <c r="A26" s="5"/>
      <c r="B26" s="5" t="s">
        <v>9</v>
      </c>
      <c r="C26" s="5" t="s">
        <v>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 t="shared" si="3"/>
        <v>0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f t="shared" si="4"/>
        <v>0</v>
      </c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>
        <f t="shared" si="5"/>
        <v>0</v>
      </c>
      <c r="AQ26" s="4">
        <f t="shared" si="6"/>
        <v>0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>
        <f t="shared" si="7"/>
        <v>0</v>
      </c>
      <c r="BE26" s="13">
        <f t="shared" si="8"/>
        <v>0</v>
      </c>
    </row>
    <row r="27" spans="1:57" hidden="1" x14ac:dyDescent="0.35">
      <c r="A27" s="5"/>
      <c r="B27" s="5"/>
      <c r="C27" s="5" t="s">
        <v>18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 t="shared" si="3"/>
        <v>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>
        <f t="shared" si="4"/>
        <v>0</v>
      </c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>
        <f t="shared" si="5"/>
        <v>0</v>
      </c>
      <c r="AQ27" s="4">
        <f t="shared" si="6"/>
        <v>0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>
        <f t="shared" si="7"/>
        <v>0</v>
      </c>
      <c r="BE27" s="13">
        <f t="shared" si="8"/>
        <v>0</v>
      </c>
    </row>
    <row r="28" spans="1:57" hidden="1" x14ac:dyDescent="0.35">
      <c r="A28" s="5"/>
      <c r="B28" s="5"/>
      <c r="C28" s="5" t="s">
        <v>19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 t="shared" si="3"/>
        <v>0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>
        <f t="shared" si="4"/>
        <v>0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>
        <f t="shared" si="5"/>
        <v>0</v>
      </c>
      <c r="AQ28" s="4">
        <f t="shared" si="6"/>
        <v>0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f t="shared" si="7"/>
        <v>0</v>
      </c>
      <c r="BE28" s="13">
        <f t="shared" si="8"/>
        <v>0</v>
      </c>
    </row>
    <row r="29" spans="1:57" hidden="1" x14ac:dyDescent="0.35">
      <c r="A29" s="5"/>
      <c r="B29" s="5"/>
      <c r="C29" s="5" t="s">
        <v>20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 t="shared" si="3"/>
        <v>0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>
        <f t="shared" si="4"/>
        <v>0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>
        <f t="shared" si="5"/>
        <v>0</v>
      </c>
      <c r="AQ29" s="4">
        <f t="shared" si="6"/>
        <v>0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>
        <f t="shared" si="7"/>
        <v>0</v>
      </c>
      <c r="BE29" s="13">
        <f t="shared" si="8"/>
        <v>0</v>
      </c>
    </row>
    <row r="30" spans="1:57" x14ac:dyDescent="0.35">
      <c r="A30" s="5" t="s">
        <v>4</v>
      </c>
      <c r="B30" s="5" t="s">
        <v>8</v>
      </c>
      <c r="C30" s="5" t="s">
        <v>17</v>
      </c>
      <c r="D30" s="4">
        <v>1084230</v>
      </c>
      <c r="E30" s="4">
        <v>1084230</v>
      </c>
      <c r="F30" s="4">
        <v>1084230</v>
      </c>
      <c r="G30" s="4">
        <v>1167719.3500000001</v>
      </c>
      <c r="H30" s="4">
        <v>1140880</v>
      </c>
      <c r="I30" s="4">
        <v>1140880</v>
      </c>
      <c r="J30" s="4">
        <v>1186740</v>
      </c>
      <c r="K30" s="4">
        <f>275160+1186740</f>
        <v>1461900</v>
      </c>
      <c r="L30" s="4">
        <v>1186740</v>
      </c>
      <c r="M30" s="4">
        <f>3768.39+1191498.39</f>
        <v>1195266.7799999998</v>
      </c>
      <c r="N30" s="4">
        <v>1187730</v>
      </c>
      <c r="O30" s="4">
        <v>1187730</v>
      </c>
      <c r="P30" s="4">
        <f t="shared" si="3"/>
        <v>14108276.129999999</v>
      </c>
      <c r="Q30" s="4">
        <v>26250</v>
      </c>
      <c r="R30" s="4">
        <v>26250</v>
      </c>
      <c r="S30" s="4">
        <v>26250</v>
      </c>
      <c r="T30" s="4">
        <v>27750</v>
      </c>
      <c r="U30" s="4">
        <v>27750</v>
      </c>
      <c r="V30" s="4">
        <v>27750</v>
      </c>
      <c r="W30" s="4">
        <f>0.52+27750</f>
        <v>27750.52</v>
      </c>
      <c r="X30" s="4">
        <v>27750</v>
      </c>
      <c r="Y30" s="4">
        <v>27750</v>
      </c>
      <c r="Z30" s="4">
        <v>27750</v>
      </c>
      <c r="AA30" s="4">
        <v>27750</v>
      </c>
      <c r="AB30" s="4">
        <v>27750</v>
      </c>
      <c r="AC30" s="4">
        <f t="shared" si="4"/>
        <v>328500.52</v>
      </c>
      <c r="AD30" s="4">
        <f>788+23593</f>
        <v>24381</v>
      </c>
      <c r="AE30" s="4">
        <v>23593</v>
      </c>
      <c r="AF30" s="4">
        <v>23593</v>
      </c>
      <c r="AG30" s="4">
        <v>23593</v>
      </c>
      <c r="AH30" s="4">
        <v>23593</v>
      </c>
      <c r="AI30" s="4">
        <v>23593</v>
      </c>
      <c r="AJ30" s="4">
        <v>24708</v>
      </c>
      <c r="AK30" s="4">
        <f>6714+24708</f>
        <v>31422</v>
      </c>
      <c r="AL30" s="4">
        <v>24708</v>
      </c>
      <c r="AM30" s="4">
        <f>114+25797</f>
        <v>25911</v>
      </c>
      <c r="AN30" s="4">
        <v>25683</v>
      </c>
      <c r="AO30" s="4">
        <v>25683</v>
      </c>
      <c r="AP30" s="4">
        <f t="shared" si="5"/>
        <v>300461</v>
      </c>
      <c r="AQ30" s="4">
        <f t="shared" si="6"/>
        <v>14737237.649999999</v>
      </c>
      <c r="AR30" s="4">
        <v>22400</v>
      </c>
      <c r="AS30" s="4">
        <v>22400</v>
      </c>
      <c r="AT30" s="4">
        <v>22400</v>
      </c>
      <c r="AU30" s="4">
        <v>22400</v>
      </c>
      <c r="AV30" s="4">
        <v>22400</v>
      </c>
      <c r="AW30" s="4">
        <v>22400</v>
      </c>
      <c r="AX30" s="4">
        <v>22400</v>
      </c>
      <c r="AY30" s="4">
        <v>22400</v>
      </c>
      <c r="AZ30" s="4">
        <v>22400</v>
      </c>
      <c r="BA30" s="4">
        <v>22400</v>
      </c>
      <c r="BB30" s="4">
        <v>22400</v>
      </c>
      <c r="BC30" s="4">
        <v>22400</v>
      </c>
      <c r="BD30" s="4">
        <f t="shared" si="7"/>
        <v>268800</v>
      </c>
      <c r="BE30" s="13">
        <f t="shared" si="8"/>
        <v>15006037.649999999</v>
      </c>
    </row>
    <row r="31" spans="1:57" x14ac:dyDescent="0.35">
      <c r="A31" s="5"/>
      <c r="B31" s="5"/>
      <c r="C31" s="5" t="s">
        <v>18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 t="shared" si="3"/>
        <v>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>
        <f t="shared" si="4"/>
        <v>0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f t="shared" si="5"/>
        <v>0</v>
      </c>
      <c r="AQ31" s="4">
        <f t="shared" si="6"/>
        <v>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>
        <f t="shared" si="7"/>
        <v>0</v>
      </c>
      <c r="BE31" s="13">
        <f t="shared" si="8"/>
        <v>0</v>
      </c>
    </row>
    <row r="32" spans="1:57" x14ac:dyDescent="0.35">
      <c r="A32" s="5"/>
      <c r="B32" s="5"/>
      <c r="C32" s="5" t="s">
        <v>19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 t="shared" si="3"/>
        <v>0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>
        <f t="shared" si="4"/>
        <v>0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>
        <f t="shared" si="5"/>
        <v>0</v>
      </c>
      <c r="AQ32" s="4">
        <f t="shared" si="6"/>
        <v>0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>
        <f t="shared" si="7"/>
        <v>0</v>
      </c>
      <c r="BE32" s="13">
        <f t="shared" si="8"/>
        <v>0</v>
      </c>
    </row>
    <row r="33" spans="1:57" x14ac:dyDescent="0.35">
      <c r="A33" s="5"/>
      <c r="B33" s="5"/>
      <c r="C33" s="5" t="s">
        <v>20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 t="shared" si="3"/>
        <v>0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>
        <f t="shared" si="4"/>
        <v>0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>
        <f t="shared" si="5"/>
        <v>0</v>
      </c>
      <c r="AQ33" s="4">
        <f t="shared" si="6"/>
        <v>0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>
        <f t="shared" si="7"/>
        <v>0</v>
      </c>
      <c r="BE33" s="13">
        <f t="shared" si="8"/>
        <v>0</v>
      </c>
    </row>
    <row r="34" spans="1:57" x14ac:dyDescent="0.35">
      <c r="A34" s="5"/>
      <c r="B34" s="5" t="s">
        <v>9</v>
      </c>
      <c r="C34" s="5" t="s">
        <v>17</v>
      </c>
      <c r="D34" s="4">
        <v>140430</v>
      </c>
      <c r="E34" s="4">
        <v>140430</v>
      </c>
      <c r="F34" s="4">
        <v>140430</v>
      </c>
      <c r="G34" s="4">
        <v>140430</v>
      </c>
      <c r="H34" s="4">
        <v>140430</v>
      </c>
      <c r="I34" s="4">
        <v>140430</v>
      </c>
      <c r="J34" s="4">
        <v>147450</v>
      </c>
      <c r="K34" s="4">
        <f>42120+147450</f>
        <v>189570</v>
      </c>
      <c r="L34" s="4">
        <v>147450</v>
      </c>
      <c r="M34" s="4">
        <v>147450</v>
      </c>
      <c r="N34" s="4">
        <v>147450</v>
      </c>
      <c r="O34" s="4">
        <v>147450</v>
      </c>
      <c r="P34" s="4">
        <f t="shared" si="3"/>
        <v>1769400</v>
      </c>
      <c r="Q34" s="4">
        <v>4500</v>
      </c>
      <c r="R34" s="4">
        <v>4500</v>
      </c>
      <c r="S34" s="4">
        <v>4500</v>
      </c>
      <c r="T34" s="4">
        <v>4500</v>
      </c>
      <c r="U34" s="4">
        <v>4500</v>
      </c>
      <c r="V34" s="4">
        <v>4500</v>
      </c>
      <c r="W34" s="4">
        <v>4500</v>
      </c>
      <c r="X34" s="4">
        <v>4500</v>
      </c>
      <c r="Y34" s="4">
        <v>4500</v>
      </c>
      <c r="Z34" s="4">
        <v>4500</v>
      </c>
      <c r="AA34" s="4">
        <v>4500</v>
      </c>
      <c r="AB34" s="4">
        <v>4500</v>
      </c>
      <c r="AC34" s="4">
        <f t="shared" si="4"/>
        <v>54000</v>
      </c>
      <c r="AD34" s="4">
        <v>3494</v>
      </c>
      <c r="AE34" s="4">
        <v>3494</v>
      </c>
      <c r="AF34" s="4">
        <v>3494</v>
      </c>
      <c r="AG34" s="4">
        <v>2776</v>
      </c>
      <c r="AH34" s="4">
        <v>2776</v>
      </c>
      <c r="AI34" s="4">
        <v>2776</v>
      </c>
      <c r="AJ34" s="4">
        <v>2915</v>
      </c>
      <c r="AK34" s="4">
        <f>834+2915</f>
        <v>3749</v>
      </c>
      <c r="AL34" s="4">
        <v>2915</v>
      </c>
      <c r="AM34" s="4">
        <v>2153</v>
      </c>
      <c r="AN34" s="4">
        <v>2153</v>
      </c>
      <c r="AO34" s="4">
        <v>2153</v>
      </c>
      <c r="AP34" s="4">
        <f t="shared" si="5"/>
        <v>34848</v>
      </c>
      <c r="AQ34" s="4">
        <f t="shared" si="6"/>
        <v>1858248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>
        <f t="shared" si="7"/>
        <v>0</v>
      </c>
      <c r="BE34" s="13">
        <f t="shared" si="8"/>
        <v>1858248</v>
      </c>
    </row>
    <row r="35" spans="1:57" x14ac:dyDescent="0.35">
      <c r="A35" s="6"/>
      <c r="B35" s="6"/>
      <c r="C35" s="5" t="s">
        <v>18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4">
        <f t="shared" si="3"/>
        <v>0</v>
      </c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4">
        <f t="shared" si="4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4">
        <f t="shared" si="5"/>
        <v>0</v>
      </c>
      <c r="AQ35" s="4">
        <f t="shared" si="6"/>
        <v>0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4">
        <f t="shared" si="7"/>
        <v>0</v>
      </c>
      <c r="BE35" s="13">
        <f t="shared" si="8"/>
        <v>0</v>
      </c>
    </row>
    <row r="36" spans="1:57" x14ac:dyDescent="0.35">
      <c r="A36" s="6"/>
      <c r="B36" s="6"/>
      <c r="C36" s="5" t="s">
        <v>19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4">
        <f t="shared" si="3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4">
        <f t="shared" si="4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4">
        <f t="shared" si="5"/>
        <v>0</v>
      </c>
      <c r="AQ36" s="4">
        <f t="shared" si="6"/>
        <v>0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4">
        <f t="shared" si="7"/>
        <v>0</v>
      </c>
      <c r="BE36" s="13">
        <f t="shared" si="8"/>
        <v>0</v>
      </c>
    </row>
    <row r="37" spans="1:57" x14ac:dyDescent="0.35">
      <c r="A37" s="6"/>
      <c r="B37" s="6"/>
      <c r="C37" s="5" t="s">
        <v>20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4">
        <f t="shared" si="3"/>
        <v>0</v>
      </c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4">
        <f t="shared" si="4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4">
        <f t="shared" si="5"/>
        <v>0</v>
      </c>
      <c r="AQ37" s="4">
        <f t="shared" si="6"/>
        <v>0</v>
      </c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4">
        <f t="shared" si="7"/>
        <v>0</v>
      </c>
      <c r="BE37" s="13">
        <f t="shared" si="8"/>
        <v>0</v>
      </c>
    </row>
    <row r="38" spans="1:57" x14ac:dyDescent="0.35">
      <c r="A38" s="6"/>
      <c r="B38" s="6"/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4">
        <f t="shared" si="3"/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4">
        <f t="shared" si="4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4">
        <f t="shared" si="5"/>
        <v>0</v>
      </c>
      <c r="AQ38" s="4">
        <f t="shared" si="6"/>
        <v>0</v>
      </c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4">
        <f t="shared" si="7"/>
        <v>0</v>
      </c>
      <c r="BE38" s="13">
        <f t="shared" si="8"/>
        <v>0</v>
      </c>
    </row>
    <row r="39" spans="1:57" x14ac:dyDescent="0.35">
      <c r="A39" s="6"/>
      <c r="B39" s="6"/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4">
        <f t="shared" si="3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4">
        <f t="shared" si="4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4">
        <f t="shared" si="5"/>
        <v>0</v>
      </c>
      <c r="AQ39" s="4">
        <f t="shared" si="6"/>
        <v>0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4">
        <f t="shared" si="7"/>
        <v>0</v>
      </c>
      <c r="BE39" s="13">
        <f t="shared" si="8"/>
        <v>0</v>
      </c>
    </row>
    <row r="40" spans="1:57" s="10" customFormat="1" ht="21.75" thickBot="1" x14ac:dyDescent="0.4">
      <c r="A40" s="8"/>
      <c r="B40" s="8"/>
      <c r="C40" s="8"/>
      <c r="D40" s="9">
        <f>SUM(D6:D39)</f>
        <v>1224660</v>
      </c>
      <c r="E40" s="9">
        <f t="shared" ref="E40:O40" si="9">SUM(E6:E39)</f>
        <v>1224660</v>
      </c>
      <c r="F40" s="9">
        <f t="shared" si="9"/>
        <v>1224660</v>
      </c>
      <c r="G40" s="9">
        <f t="shared" si="9"/>
        <v>1308149.3500000001</v>
      </c>
      <c r="H40" s="9">
        <f t="shared" si="9"/>
        <v>1281310</v>
      </c>
      <c r="I40" s="9">
        <f t="shared" si="9"/>
        <v>1281310</v>
      </c>
      <c r="J40" s="9">
        <f t="shared" si="9"/>
        <v>1334190</v>
      </c>
      <c r="K40" s="9">
        <f t="shared" si="9"/>
        <v>1651470</v>
      </c>
      <c r="L40" s="9">
        <f t="shared" si="9"/>
        <v>1334190</v>
      </c>
      <c r="M40" s="9">
        <f t="shared" si="9"/>
        <v>1342716.7799999998</v>
      </c>
      <c r="N40" s="9">
        <f t="shared" si="9"/>
        <v>1335180</v>
      </c>
      <c r="O40" s="9">
        <f t="shared" si="9"/>
        <v>1335180</v>
      </c>
      <c r="P40" s="25">
        <f t="shared" si="3"/>
        <v>15877676.129999999</v>
      </c>
      <c r="Q40" s="9">
        <f>SUM(Q6:Q39)</f>
        <v>30750</v>
      </c>
      <c r="R40" s="9">
        <f t="shared" ref="R40:AB40" si="10">SUM(R6:R39)</f>
        <v>30750</v>
      </c>
      <c r="S40" s="9">
        <f t="shared" si="10"/>
        <v>30750</v>
      </c>
      <c r="T40" s="9">
        <f t="shared" si="10"/>
        <v>32250</v>
      </c>
      <c r="U40" s="9">
        <f t="shared" si="10"/>
        <v>32250</v>
      </c>
      <c r="V40" s="9">
        <f t="shared" si="10"/>
        <v>32250</v>
      </c>
      <c r="W40" s="9">
        <f t="shared" si="10"/>
        <v>32250.52</v>
      </c>
      <c r="X40" s="9">
        <f t="shared" si="10"/>
        <v>32250</v>
      </c>
      <c r="Y40" s="9">
        <f t="shared" si="10"/>
        <v>32250</v>
      </c>
      <c r="Z40" s="9">
        <f t="shared" si="10"/>
        <v>32250</v>
      </c>
      <c r="AA40" s="9">
        <f t="shared" si="10"/>
        <v>32250</v>
      </c>
      <c r="AB40" s="9">
        <f t="shared" si="10"/>
        <v>32250</v>
      </c>
      <c r="AC40" s="25">
        <f t="shared" si="4"/>
        <v>382500.52</v>
      </c>
      <c r="AD40" s="9">
        <f>SUM(AD6:AD39)</f>
        <v>27875</v>
      </c>
      <c r="AE40" s="9">
        <f t="shared" ref="AE40:AO40" si="11">SUM(AE6:AE39)</f>
        <v>27087</v>
      </c>
      <c r="AF40" s="9">
        <f t="shared" si="11"/>
        <v>27087</v>
      </c>
      <c r="AG40" s="9">
        <f t="shared" si="11"/>
        <v>26369</v>
      </c>
      <c r="AH40" s="9">
        <f t="shared" si="11"/>
        <v>26369</v>
      </c>
      <c r="AI40" s="9">
        <f t="shared" si="11"/>
        <v>26369</v>
      </c>
      <c r="AJ40" s="9">
        <f t="shared" si="11"/>
        <v>27623</v>
      </c>
      <c r="AK40" s="9">
        <f t="shared" si="11"/>
        <v>35171</v>
      </c>
      <c r="AL40" s="9">
        <f t="shared" si="11"/>
        <v>27623</v>
      </c>
      <c r="AM40" s="9">
        <f t="shared" si="11"/>
        <v>28064</v>
      </c>
      <c r="AN40" s="9">
        <f t="shared" si="11"/>
        <v>27836</v>
      </c>
      <c r="AO40" s="9">
        <f t="shared" si="11"/>
        <v>27836</v>
      </c>
      <c r="AP40" s="25">
        <f t="shared" si="5"/>
        <v>335309</v>
      </c>
      <c r="AQ40" s="25">
        <f t="shared" si="6"/>
        <v>16595485.649999999</v>
      </c>
      <c r="AR40" s="9">
        <f>SUM(AR6:AR39)</f>
        <v>22400</v>
      </c>
      <c r="AS40" s="9">
        <f t="shared" ref="AS40:BC40" si="12">SUM(AS6:AS39)</f>
        <v>22400</v>
      </c>
      <c r="AT40" s="9">
        <f t="shared" si="12"/>
        <v>22400</v>
      </c>
      <c r="AU40" s="9">
        <f t="shared" si="12"/>
        <v>22400</v>
      </c>
      <c r="AV40" s="9">
        <f t="shared" si="12"/>
        <v>22400</v>
      </c>
      <c r="AW40" s="9">
        <f t="shared" si="12"/>
        <v>22400</v>
      </c>
      <c r="AX40" s="9">
        <f t="shared" si="12"/>
        <v>22400</v>
      </c>
      <c r="AY40" s="9">
        <f t="shared" si="12"/>
        <v>22400</v>
      </c>
      <c r="AZ40" s="9">
        <f t="shared" si="12"/>
        <v>22400</v>
      </c>
      <c r="BA40" s="9">
        <f t="shared" si="12"/>
        <v>22400</v>
      </c>
      <c r="BB40" s="9">
        <f t="shared" si="12"/>
        <v>22400</v>
      </c>
      <c r="BC40" s="9">
        <f t="shared" si="12"/>
        <v>22400</v>
      </c>
      <c r="BD40" s="25">
        <f t="shared" si="7"/>
        <v>268800</v>
      </c>
      <c r="BE40" s="26">
        <f>+AQ40+BD40</f>
        <v>16864285.649999999</v>
      </c>
    </row>
    <row r="41" spans="1:57" ht="21.75" thickTop="1" x14ac:dyDescent="0.35"/>
    <row r="42" spans="1:57" hidden="1" x14ac:dyDescent="0.35">
      <c r="A42" s="1" t="s">
        <v>301</v>
      </c>
    </row>
    <row r="43" spans="1:57" hidden="1" x14ac:dyDescent="0.35">
      <c r="A43" s="71" t="s">
        <v>297</v>
      </c>
    </row>
    <row r="44" spans="1:57" hidden="1" x14ac:dyDescent="0.35">
      <c r="A44" s="1" t="s">
        <v>302</v>
      </c>
    </row>
    <row r="45" spans="1:57" hidden="1" x14ac:dyDescent="0.35">
      <c r="A45" s="1" t="s">
        <v>298</v>
      </c>
      <c r="K45" s="1">
        <f>275160+42120</f>
        <v>317280</v>
      </c>
      <c r="M45" s="1">
        <v>3768.39</v>
      </c>
      <c r="AD45" s="1">
        <v>788</v>
      </c>
      <c r="AK45" s="1">
        <f>6714+834</f>
        <v>7548</v>
      </c>
      <c r="AM45" s="1">
        <v>114</v>
      </c>
    </row>
    <row r="46" spans="1:57" hidden="1" x14ac:dyDescent="0.35">
      <c r="A46" s="53" t="s">
        <v>364</v>
      </c>
      <c r="W46" s="1">
        <v>0.52</v>
      </c>
    </row>
    <row r="47" spans="1:57" hidden="1" x14ac:dyDescent="0.35">
      <c r="A47" s="53" t="s">
        <v>115</v>
      </c>
    </row>
    <row r="48" spans="1:57" hidden="1" x14ac:dyDescent="0.35"/>
    <row r="49" hidden="1" x14ac:dyDescent="0.35"/>
  </sheetData>
  <mergeCells count="11">
    <mergeCell ref="A1:F1"/>
    <mergeCell ref="A3:A4"/>
    <mergeCell ref="B3:B4"/>
    <mergeCell ref="D3:AQ3"/>
    <mergeCell ref="BE3:BE4"/>
    <mergeCell ref="D4:P4"/>
    <mergeCell ref="Q4:AC4"/>
    <mergeCell ref="AD4:AP4"/>
    <mergeCell ref="AR4:BD4"/>
    <mergeCell ref="AR3:BD3"/>
    <mergeCell ref="AQ4:AQ5"/>
  </mergeCells>
  <pageMargins left="0.7" right="0.7" top="0.75" bottom="0.75" header="0.3" footer="0.3"/>
  <pageSetup paperSize="9" scale="65" orientation="landscape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บริหาร</vt:lpstr>
      <vt:lpstr>ศิลปศาสตร์</vt:lpstr>
      <vt:lpstr>วิทยาลัยเพาะช่าง</vt:lpstr>
      <vt:lpstr>วิศวกรรมศาสตร์</vt:lpstr>
      <vt:lpstr>สถาปัตยกรรม</vt:lpstr>
      <vt:lpstr>วิทยาศาสตร์</vt:lpstr>
      <vt:lpstr>ส่วนกลาง</vt:lpstr>
      <vt:lpstr>อุต+โรงแรม</vt:lpstr>
      <vt:lpstr>อุต+เทคโนฯ</vt:lpstr>
      <vt:lpstr>สำนักวิทยาเขตวังไกล</vt:lpstr>
      <vt:lpstr>สำนักการศึกษา</vt:lpstr>
      <vt:lpstr>ยังไม่เรียบร้อย</vt:lpstr>
      <vt:lpstr>พนักงานวังไกล (62)</vt:lpstr>
      <vt:lpstr>พนักงานวังไกล</vt:lpstr>
      <vt:lpstr>พนักงานวังไกล!Print_Titles</vt:lpstr>
      <vt:lpstr>'พนักงานวังไกล (62)'!Print_Titles</vt:lpstr>
      <vt:lpstr>ยังไม่เรียบร้อย!Print_Titles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FIS_Nai</dc:creator>
  <cp:lastModifiedBy>Suthisa2</cp:lastModifiedBy>
  <cp:lastPrinted>2020-05-06T05:48:35Z</cp:lastPrinted>
  <dcterms:created xsi:type="dcterms:W3CDTF">2018-05-07T04:04:02Z</dcterms:created>
  <dcterms:modified xsi:type="dcterms:W3CDTF">2020-06-12T06:44:21Z</dcterms:modified>
</cp:coreProperties>
</file>